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Scenario A" sheetId="1" r:id="rId1"/>
    <sheet name="Scenario B" sheetId="2" r:id="rId2"/>
    <sheet name="Scenario C" sheetId="3" r:id="rId3"/>
  </sheets>
  <definedNames/>
  <calcPr fullCalcOnLoad="1"/>
</workbook>
</file>

<file path=xl/sharedStrings.xml><?xml version="1.0" encoding="utf-8"?>
<sst xmlns="http://schemas.openxmlformats.org/spreadsheetml/2006/main" count="852" uniqueCount="110">
  <si>
    <t>PROCESS CALCULATIONS</t>
  </si>
  <si>
    <t>FEEDSTOCK PARAMETERS</t>
  </si>
  <si>
    <t>Mass</t>
  </si>
  <si>
    <r>
      <t>tonne.d</t>
    </r>
    <r>
      <rPr>
        <vertAlign val="superscript"/>
        <sz val="12"/>
        <rFont val="Trebuchet MS"/>
        <family val="2"/>
      </rPr>
      <t>-1</t>
    </r>
  </si>
  <si>
    <t>%</t>
  </si>
  <si>
    <t>BMP</t>
  </si>
  <si>
    <r>
      <t>m</t>
    </r>
    <r>
      <rPr>
        <vertAlign val="superscript"/>
        <sz val="12"/>
        <rFont val="Trebuchet MS"/>
        <family val="2"/>
      </rPr>
      <t>3</t>
    </r>
    <r>
      <rPr>
        <vertAlign val="subscript"/>
        <sz val="12"/>
        <rFont val="Trebuchet MS"/>
        <family val="2"/>
      </rPr>
      <t>CH4</t>
    </r>
    <r>
      <rPr>
        <sz val="12"/>
        <rFont val="Trebuchet MS"/>
        <family val="2"/>
      </rPr>
      <t>.tonne</t>
    </r>
    <r>
      <rPr>
        <vertAlign val="subscript"/>
        <sz val="12"/>
        <rFont val="Trebuchet MS"/>
        <family val="2"/>
      </rPr>
      <t>ODM</t>
    </r>
    <r>
      <rPr>
        <vertAlign val="superscript"/>
        <sz val="12"/>
        <rFont val="Trebuchet MS"/>
        <family val="2"/>
      </rPr>
      <t>-1</t>
    </r>
  </si>
  <si>
    <r>
      <t>CH</t>
    </r>
    <r>
      <rPr>
        <vertAlign val="subscript"/>
        <sz val="12"/>
        <rFont val="Trebuchet MS"/>
        <family val="2"/>
      </rPr>
      <t>4</t>
    </r>
  </si>
  <si>
    <t>DM</t>
  </si>
  <si>
    <t>ODM</t>
  </si>
  <si>
    <t>Cattle Manure</t>
  </si>
  <si>
    <t>Maize Silage</t>
  </si>
  <si>
    <t>Food Waste</t>
  </si>
  <si>
    <t>Feedstock Total</t>
  </si>
  <si>
    <t>Animals</t>
  </si>
  <si>
    <t>No.</t>
  </si>
  <si>
    <t>Manure Production</t>
  </si>
  <si>
    <t>-</t>
  </si>
  <si>
    <t>Scenario A</t>
  </si>
  <si>
    <r>
      <t>tonne.yr</t>
    </r>
    <r>
      <rPr>
        <vertAlign val="superscript"/>
        <sz val="12"/>
        <rFont val="Trebuchet MS"/>
        <family val="2"/>
      </rPr>
      <t>-1</t>
    </r>
  </si>
  <si>
    <t>Dry matter</t>
  </si>
  <si>
    <t>Organic Dry Matter</t>
  </si>
  <si>
    <t>Methane Production</t>
  </si>
  <si>
    <r>
      <t>m</t>
    </r>
    <r>
      <rPr>
        <vertAlign val="superscript"/>
        <sz val="12"/>
        <rFont val="Trebuchet MS"/>
        <family val="2"/>
      </rPr>
      <t>3</t>
    </r>
    <r>
      <rPr>
        <sz val="12"/>
        <rFont val="Trebuchet MS"/>
        <family val="2"/>
      </rPr>
      <t>.d</t>
    </r>
    <r>
      <rPr>
        <vertAlign val="superscript"/>
        <sz val="12"/>
        <rFont val="Trebuchet MS"/>
        <family val="2"/>
      </rPr>
      <t>-1</t>
    </r>
  </si>
  <si>
    <t>Biogas Production</t>
  </si>
  <si>
    <t>Mass of Feedstock</t>
  </si>
  <si>
    <t>Digester Capacity</t>
  </si>
  <si>
    <r>
      <t>m</t>
    </r>
    <r>
      <rPr>
        <vertAlign val="superscript"/>
        <sz val="12"/>
        <rFont val="Trebuchet MS"/>
        <family val="2"/>
      </rPr>
      <t>3</t>
    </r>
  </si>
  <si>
    <t>d</t>
  </si>
  <si>
    <r>
      <t>kg.hd</t>
    </r>
    <r>
      <rPr>
        <vertAlign val="superscript"/>
        <sz val="12"/>
        <rFont val="Trebuchet MS"/>
        <family val="2"/>
      </rPr>
      <t>-1</t>
    </r>
    <r>
      <rPr>
        <sz val="12"/>
        <rFont val="Trebuchet MS"/>
        <family val="2"/>
      </rPr>
      <t>.d</t>
    </r>
    <r>
      <rPr>
        <vertAlign val="superscript"/>
        <sz val="12"/>
        <rFont val="Trebuchet MS"/>
        <family val="2"/>
      </rPr>
      <t>-1</t>
    </r>
  </si>
  <si>
    <t>Specific Gravity</t>
  </si>
  <si>
    <r>
      <t>kg.m</t>
    </r>
    <r>
      <rPr>
        <vertAlign val="superscript"/>
        <sz val="12"/>
        <rFont val="Trebuchet MS"/>
        <family val="2"/>
      </rPr>
      <t>-3</t>
    </r>
  </si>
  <si>
    <t>Volume</t>
  </si>
  <si>
    <t>Volume of Feedstock</t>
  </si>
  <si>
    <t>Hydraulic Retention Time</t>
  </si>
  <si>
    <t>Organic Loading Rate</t>
  </si>
  <si>
    <r>
      <t>kg.m</t>
    </r>
    <r>
      <rPr>
        <vertAlign val="subscript"/>
        <sz val="12"/>
        <rFont val="Trebuchet MS"/>
        <family val="2"/>
      </rPr>
      <t>R</t>
    </r>
    <r>
      <rPr>
        <vertAlign val="superscript"/>
        <sz val="12"/>
        <rFont val="Trebuchet MS"/>
        <family val="2"/>
      </rPr>
      <t>-3</t>
    </r>
    <r>
      <rPr>
        <sz val="12"/>
        <rFont val="Trebuchet MS"/>
        <family val="2"/>
      </rPr>
      <t>.d</t>
    </r>
    <r>
      <rPr>
        <vertAlign val="superscript"/>
        <sz val="12"/>
        <rFont val="Trebuchet MS"/>
        <family val="2"/>
      </rPr>
      <t>-1</t>
    </r>
  </si>
  <si>
    <t>DIGESTER CAPACITY CALCULATION</t>
  </si>
  <si>
    <t>ENERGY BALANCE</t>
  </si>
  <si>
    <t>Energy Value of Biogas</t>
  </si>
  <si>
    <r>
      <t>MJ.d</t>
    </r>
    <r>
      <rPr>
        <vertAlign val="superscript"/>
        <sz val="12"/>
        <rFont val="Trebuchet MS"/>
        <family val="2"/>
      </rPr>
      <t>-1</t>
    </r>
  </si>
  <si>
    <t>kW</t>
  </si>
  <si>
    <t>Biogas for Boiler</t>
  </si>
  <si>
    <t>Biogas for CHP</t>
  </si>
  <si>
    <t>Biogas Flared</t>
  </si>
  <si>
    <t>Heat Efficiency of Boiler</t>
  </si>
  <si>
    <t>Electrical Efficiency of CHP</t>
  </si>
  <si>
    <t>Heat Efficiency of CHP</t>
  </si>
  <si>
    <t>Heat Production from Boiler</t>
  </si>
  <si>
    <t>Heat Production from CHP</t>
  </si>
  <si>
    <t>Total Heat Production</t>
  </si>
  <si>
    <t>Electricity Production</t>
  </si>
  <si>
    <t>Temperature of Feedstock</t>
  </si>
  <si>
    <r>
      <t>o</t>
    </r>
    <r>
      <rPr>
        <sz val="12"/>
        <rFont val="Trebuchet MS"/>
        <family val="2"/>
      </rPr>
      <t>C</t>
    </r>
  </si>
  <si>
    <t>Temperature of Digester</t>
  </si>
  <si>
    <t>Heat Input to Feedstock</t>
  </si>
  <si>
    <t>Digester Surface Area</t>
  </si>
  <si>
    <r>
      <t>m</t>
    </r>
    <r>
      <rPr>
        <vertAlign val="superscript"/>
        <sz val="12"/>
        <rFont val="Trebuchet MS"/>
        <family val="2"/>
      </rPr>
      <t>2</t>
    </r>
  </si>
  <si>
    <t>Thermal Conductivity</t>
  </si>
  <si>
    <r>
      <t>W.m</t>
    </r>
    <r>
      <rPr>
        <vertAlign val="superscript"/>
        <sz val="12"/>
        <rFont val="Trebuchet MS"/>
        <family val="2"/>
      </rPr>
      <t>-2</t>
    </r>
    <r>
      <rPr>
        <sz val="12"/>
        <rFont val="Trebuchet MS"/>
        <family val="2"/>
      </rPr>
      <t>.</t>
    </r>
    <r>
      <rPr>
        <vertAlign val="superscript"/>
        <sz val="12"/>
        <rFont val="Trebuchet MS"/>
        <family val="2"/>
      </rPr>
      <t>o</t>
    </r>
    <r>
      <rPr>
        <sz val="12"/>
        <rFont val="Trebuchet MS"/>
        <family val="2"/>
      </rPr>
      <t>C</t>
    </r>
    <r>
      <rPr>
        <vertAlign val="superscript"/>
        <sz val="12"/>
        <rFont val="Trebuchet MS"/>
        <family val="2"/>
      </rPr>
      <t>-1</t>
    </r>
  </si>
  <si>
    <t>Digester Heat Loss</t>
  </si>
  <si>
    <t>Outside Air Temperature</t>
  </si>
  <si>
    <t>Digester Heat : Available Heat</t>
  </si>
  <si>
    <t>Energy Production</t>
  </si>
  <si>
    <t>Digester Heat Input</t>
  </si>
  <si>
    <t>Total Digester Heat Input</t>
  </si>
  <si>
    <t>Digester Electricity Consumption</t>
  </si>
  <si>
    <r>
      <t>kWh.d</t>
    </r>
    <r>
      <rPr>
        <vertAlign val="superscript"/>
        <sz val="12"/>
        <rFont val="Trebuchet MS"/>
        <family val="2"/>
      </rPr>
      <t>-1</t>
    </r>
  </si>
  <si>
    <t>Digester Electricity : Output</t>
  </si>
  <si>
    <t>Energy Balance</t>
  </si>
  <si>
    <t>Notes</t>
  </si>
  <si>
    <t>= mass / SG.</t>
  </si>
  <si>
    <t>= mass x %DM</t>
  </si>
  <si>
    <t>= DM x %ODM</t>
  </si>
  <si>
    <t>= ODM x BMP</t>
  </si>
  <si>
    <t>= CH4 / %CH4</t>
  </si>
  <si>
    <t>= Digester Capacity / Feedstock Volume</t>
  </si>
  <si>
    <t>= Organic Dry Matter * 1000/ Digester Capacity</t>
  </si>
  <si>
    <t>= CH4 * 35.7</t>
  </si>
  <si>
    <t>= MJ / 3600</t>
  </si>
  <si>
    <t>= kWh / 24</t>
  </si>
  <si>
    <t>= 85% - Electrical Efficiency</t>
  </si>
  <si>
    <t>= kW * 24</t>
  </si>
  <si>
    <t>= Energy Value * CHP% * CHP Electrical Efficiency</t>
  </si>
  <si>
    <t>= Energy Value * Boiler% * Boiler Efficiency</t>
  </si>
  <si>
    <t>= Energy Value * CHP% * CHP Heat Efficiency</t>
  </si>
  <si>
    <t>= Mass * Delta T * 4.19</t>
  </si>
  <si>
    <t>= MJ * 1000 / 3600 /24</t>
  </si>
  <si>
    <t>Assumes Height = Diameter</t>
  </si>
  <si>
    <t>Assumes 100mm of Mineral Wool</t>
  </si>
  <si>
    <t>= Tank Area x Delta T x Conductivity / 1000</t>
  </si>
  <si>
    <t>= Heat to Feedstock + Heat Loss</t>
  </si>
  <si>
    <t>= kWh /24</t>
  </si>
  <si>
    <t>Heat Production</t>
  </si>
  <si>
    <t>MASS BALANCE</t>
  </si>
  <si>
    <r>
      <t>m</t>
    </r>
    <r>
      <rPr>
        <vertAlign val="superscript"/>
        <sz val="12"/>
        <rFont val="Trebuchet MS"/>
        <family val="2"/>
      </rPr>
      <t>3</t>
    </r>
    <r>
      <rPr>
        <sz val="12"/>
        <rFont val="Trebuchet MS"/>
        <family val="2"/>
      </rPr>
      <t>.yr</t>
    </r>
    <r>
      <rPr>
        <vertAlign val="superscript"/>
        <sz val="12"/>
        <rFont val="Trebuchet MS"/>
        <family val="2"/>
      </rPr>
      <t>-1</t>
    </r>
  </si>
  <si>
    <r>
      <t>Volume of CH</t>
    </r>
    <r>
      <rPr>
        <vertAlign val="subscript"/>
        <sz val="12"/>
        <rFont val="Trebuchet MS"/>
        <family val="2"/>
      </rPr>
      <t>4</t>
    </r>
  </si>
  <si>
    <r>
      <t>Volume of CO</t>
    </r>
    <r>
      <rPr>
        <vertAlign val="subscript"/>
        <sz val="12"/>
        <rFont val="Trebuchet MS"/>
        <family val="2"/>
      </rPr>
      <t>2</t>
    </r>
  </si>
  <si>
    <r>
      <t>Mass of CH</t>
    </r>
    <r>
      <rPr>
        <vertAlign val="subscript"/>
        <sz val="12"/>
        <rFont val="Trebuchet MS"/>
        <family val="2"/>
      </rPr>
      <t>4</t>
    </r>
  </si>
  <si>
    <r>
      <t>Mass of CO</t>
    </r>
    <r>
      <rPr>
        <vertAlign val="subscript"/>
        <sz val="12"/>
        <rFont val="Trebuchet MS"/>
        <family val="2"/>
      </rPr>
      <t>2</t>
    </r>
  </si>
  <si>
    <t>Mass of Biogas</t>
  </si>
  <si>
    <t>Mass of Digestate</t>
  </si>
  <si>
    <t>% Mass Reduction</t>
  </si>
  <si>
    <t>Mass Reduction</t>
  </si>
  <si>
    <t>= Biogas - Methane</t>
  </si>
  <si>
    <t>= CO2 * 1.96 / 1000</t>
  </si>
  <si>
    <t>= CH4 * 0.71 / 1000</t>
  </si>
  <si>
    <t>= Feedstock Mass - Biogas Mass</t>
  </si>
  <si>
    <t>Scenario C</t>
  </si>
  <si>
    <t>Scenario 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</si>
</sst>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</numFmts>
  <fonts count="42">
    <font>
      <sz val="10"/>
      <name val="Arial"/>
      <family val="0"/>
    </font>
    <font>
      <sz val="12"/>
      <name val="Trebuchet MS"/>
      <family val="2"/>
    </font>
    <font>
      <vertAlign val="superscript"/>
      <sz val="12"/>
      <name val="Trebuchet MS"/>
      <family val="2"/>
    </font>
    <font>
      <sz val="8"/>
      <name val="Arial"/>
      <family val="0"/>
    </font>
    <font>
      <vertAlign val="subscript"/>
      <sz val="12"/>
      <name val="Trebuchet MS"/>
      <family val="2"/>
    </font>
    <font>
      <sz val="12"/>
      <color indexed="10"/>
      <name val="Trebuchet MS"/>
      <family val="2"/>
    </font>
    <font>
      <sz val="12"/>
      <color indexed="12"/>
      <name val="Trebuchet MS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center"/>
    </xf>
    <xf numFmtId="3" fontId="6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center"/>
    </xf>
    <xf numFmtId="9" fontId="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.7109375" style="1" customWidth="1"/>
    <col min="2" max="2" width="34.7109375" style="1" customWidth="1"/>
    <col min="3" max="3" width="18.7109375" style="1" customWidth="1"/>
    <col min="4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29.421875" style="22" customWidth="1"/>
    <col min="11" max="16384" width="9.140625" style="1" customWidth="1"/>
  </cols>
  <sheetData>
    <row r="1" ht="6" customHeight="1"/>
    <row r="2" spans="2:10" s="13" customFormat="1" ht="18">
      <c r="B2" s="13" t="s">
        <v>0</v>
      </c>
      <c r="J2" s="23"/>
    </row>
    <row r="3" spans="2:10" s="13" customFormat="1" ht="18">
      <c r="B3" s="13" t="s">
        <v>18</v>
      </c>
      <c r="J3" s="23"/>
    </row>
    <row r="4" s="13" customFormat="1" ht="6" customHeight="1">
      <c r="J4" s="23"/>
    </row>
    <row r="5" spans="2:10" s="13" customFormat="1" ht="36">
      <c r="B5" s="13" t="s">
        <v>1</v>
      </c>
      <c r="D5" s="14" t="s">
        <v>10</v>
      </c>
      <c r="E5" s="14" t="s">
        <v>11</v>
      </c>
      <c r="F5" s="14" t="s">
        <v>12</v>
      </c>
      <c r="G5" s="14"/>
      <c r="H5" s="14" t="s">
        <v>13</v>
      </c>
      <c r="J5" s="23" t="s">
        <v>70</v>
      </c>
    </row>
    <row r="6" ht="6" customHeight="1"/>
    <row r="7" spans="2:8" ht="19.5" customHeight="1">
      <c r="B7" s="1" t="s">
        <v>8</v>
      </c>
      <c r="C7" s="1" t="s">
        <v>4</v>
      </c>
      <c r="D7" s="4">
        <v>0.08</v>
      </c>
      <c r="E7" s="4">
        <v>0.33</v>
      </c>
      <c r="F7" s="4">
        <v>0.25</v>
      </c>
      <c r="H7" s="2">
        <f>H18/H14</f>
        <v>0.08</v>
      </c>
    </row>
    <row r="8" spans="2:8" ht="19.5" customHeight="1">
      <c r="B8" s="1" t="s">
        <v>9</v>
      </c>
      <c r="C8" s="1" t="s">
        <v>4</v>
      </c>
      <c r="D8" s="4">
        <v>0.87</v>
      </c>
      <c r="E8" s="4">
        <v>0.95</v>
      </c>
      <c r="F8" s="4">
        <v>0.9</v>
      </c>
      <c r="H8" s="2">
        <f>H19/H18</f>
        <v>0.8700000000000001</v>
      </c>
    </row>
    <row r="9" spans="2:8" ht="19.5" customHeight="1">
      <c r="B9" s="1" t="s">
        <v>7</v>
      </c>
      <c r="C9" s="1" t="s">
        <v>4</v>
      </c>
      <c r="D9" s="4">
        <v>0.58</v>
      </c>
      <c r="E9" s="4">
        <v>0.55</v>
      </c>
      <c r="F9" s="4">
        <v>0.6</v>
      </c>
      <c r="H9" s="2">
        <f>H20/H21</f>
        <v>0.58</v>
      </c>
    </row>
    <row r="10" spans="2:8" ht="19.5" customHeight="1">
      <c r="B10" s="1" t="s">
        <v>5</v>
      </c>
      <c r="C10" s="1" t="s">
        <v>6</v>
      </c>
      <c r="D10" s="5">
        <v>190</v>
      </c>
      <c r="E10" s="5">
        <v>400</v>
      </c>
      <c r="F10" s="5">
        <v>420</v>
      </c>
      <c r="H10" s="3">
        <f>H20/H19</f>
        <v>190</v>
      </c>
    </row>
    <row r="11" spans="2:8" ht="19.5" customHeight="1">
      <c r="B11" s="1" t="s">
        <v>30</v>
      </c>
      <c r="C11" s="1" t="s">
        <v>31</v>
      </c>
      <c r="D11" s="12">
        <v>1.03</v>
      </c>
      <c r="E11" s="12">
        <v>1.05</v>
      </c>
      <c r="F11" s="12">
        <v>1.05</v>
      </c>
      <c r="H11" s="21">
        <f>H14/H15</f>
        <v>1.03</v>
      </c>
    </row>
    <row r="12" spans="2:8" ht="19.5" customHeight="1">
      <c r="B12" s="1" t="s">
        <v>16</v>
      </c>
      <c r="C12" s="1" t="s">
        <v>29</v>
      </c>
      <c r="D12" s="5">
        <v>60</v>
      </c>
      <c r="E12" s="7" t="s">
        <v>17</v>
      </c>
      <c r="F12" s="7" t="s">
        <v>17</v>
      </c>
      <c r="H12" s="7" t="s">
        <v>17</v>
      </c>
    </row>
    <row r="13" spans="2:8" ht="19.5" customHeight="1">
      <c r="B13" s="1" t="s">
        <v>14</v>
      </c>
      <c r="C13" s="1" t="s">
        <v>15</v>
      </c>
      <c r="D13" s="8">
        <v>500</v>
      </c>
      <c r="E13" s="7" t="s">
        <v>17</v>
      </c>
      <c r="F13" s="7" t="s">
        <v>17</v>
      </c>
      <c r="H13" s="7" t="s">
        <v>17</v>
      </c>
    </row>
    <row r="14" spans="2:8" ht="19.5" customHeight="1">
      <c r="B14" s="1" t="s">
        <v>2</v>
      </c>
      <c r="C14" s="1" t="s">
        <v>3</v>
      </c>
      <c r="D14" s="9">
        <f>D13*D12/1000</f>
        <v>30</v>
      </c>
      <c r="E14" s="10">
        <v>0</v>
      </c>
      <c r="F14" s="10">
        <v>0</v>
      </c>
      <c r="G14" s="9"/>
      <c r="H14" s="9">
        <f>SUM(D14:G14)</f>
        <v>30</v>
      </c>
    </row>
    <row r="15" spans="2:10" ht="19.5" customHeight="1">
      <c r="B15" s="1" t="s">
        <v>32</v>
      </c>
      <c r="C15" s="1" t="s">
        <v>23</v>
      </c>
      <c r="D15" s="9">
        <f>D14/D11</f>
        <v>29.126213592233007</v>
      </c>
      <c r="E15" s="9">
        <f>E14/E11</f>
        <v>0</v>
      </c>
      <c r="F15" s="9">
        <f>F14/F11</f>
        <v>0</v>
      </c>
      <c r="G15" s="9"/>
      <c r="H15" s="9">
        <f>SUM(D15:G15)</f>
        <v>29.126213592233007</v>
      </c>
      <c r="J15" s="22" t="s">
        <v>71</v>
      </c>
    </row>
    <row r="16" spans="2:8" ht="20.25">
      <c r="B16" s="1" t="s">
        <v>2</v>
      </c>
      <c r="C16" s="1" t="s">
        <v>19</v>
      </c>
      <c r="D16" s="3">
        <f>D14*365</f>
        <v>10950</v>
      </c>
      <c r="E16" s="3">
        <f>E14*365</f>
        <v>0</v>
      </c>
      <c r="F16" s="3">
        <f>F14*365</f>
        <v>0</v>
      </c>
      <c r="H16" s="3">
        <f>SUM(D16:G16)</f>
        <v>10950</v>
      </c>
    </row>
    <row r="17" ht="6" customHeight="1"/>
    <row r="18" spans="2:10" ht="20.25">
      <c r="B18" s="1" t="s">
        <v>20</v>
      </c>
      <c r="C18" s="1" t="s">
        <v>3</v>
      </c>
      <c r="D18" s="9">
        <f>D14*D7</f>
        <v>2.4</v>
      </c>
      <c r="E18" s="9">
        <f>E14*E7</f>
        <v>0</v>
      </c>
      <c r="F18" s="9">
        <f>F14*F7</f>
        <v>0</v>
      </c>
      <c r="G18" s="9"/>
      <c r="H18" s="9">
        <f>SUM(D18:G18)</f>
        <v>2.4</v>
      </c>
      <c r="J18" s="22" t="s">
        <v>72</v>
      </c>
    </row>
    <row r="19" spans="2:10" ht="20.25">
      <c r="B19" s="1" t="s">
        <v>21</v>
      </c>
      <c r="C19" s="1" t="s">
        <v>3</v>
      </c>
      <c r="D19" s="9">
        <f>D18*D8</f>
        <v>2.088</v>
      </c>
      <c r="E19" s="9">
        <f>E18*E8</f>
        <v>0</v>
      </c>
      <c r="F19" s="9">
        <f>F18*F8</f>
        <v>0</v>
      </c>
      <c r="H19" s="9">
        <f>SUM(D19:G19)</f>
        <v>2.088</v>
      </c>
      <c r="J19" s="22" t="s">
        <v>73</v>
      </c>
    </row>
    <row r="20" spans="2:10" ht="20.25">
      <c r="B20" s="1" t="s">
        <v>22</v>
      </c>
      <c r="C20" s="1" t="s">
        <v>23</v>
      </c>
      <c r="D20" s="3">
        <f>D19*D10</f>
        <v>396.72</v>
      </c>
      <c r="E20" s="3">
        <f>E19*E10</f>
        <v>0</v>
      </c>
      <c r="F20" s="3">
        <f>F19*F10</f>
        <v>0</v>
      </c>
      <c r="H20" s="3">
        <f>SUM(D20:G20)</f>
        <v>396.72</v>
      </c>
      <c r="J20" s="22" t="s">
        <v>74</v>
      </c>
    </row>
    <row r="21" spans="2:10" ht="20.25">
      <c r="B21" s="1" t="s">
        <v>24</v>
      </c>
      <c r="C21" s="1" t="s">
        <v>23</v>
      </c>
      <c r="D21" s="3">
        <f>D20/D9</f>
        <v>684.0000000000001</v>
      </c>
      <c r="E21" s="3">
        <f>E20/E9</f>
        <v>0</v>
      </c>
      <c r="F21" s="3">
        <f>F20/F9</f>
        <v>0</v>
      </c>
      <c r="H21" s="3">
        <f>SUM(D21:G21)</f>
        <v>684.0000000000001</v>
      </c>
      <c r="J21" s="22" t="s">
        <v>75</v>
      </c>
    </row>
    <row r="22" ht="6" customHeight="1"/>
    <row r="23" spans="2:10" s="13" customFormat="1" ht="18">
      <c r="B23" s="13" t="s">
        <v>37</v>
      </c>
      <c r="J23" s="23"/>
    </row>
    <row r="24" spans="2:8" ht="20.25">
      <c r="B24" s="1" t="s">
        <v>25</v>
      </c>
      <c r="C24" s="1" t="s">
        <v>3</v>
      </c>
      <c r="D24" s="7" t="s">
        <v>17</v>
      </c>
      <c r="E24" s="7" t="s">
        <v>17</v>
      </c>
      <c r="F24" s="7" t="s">
        <v>17</v>
      </c>
      <c r="H24" s="11">
        <f>H14</f>
        <v>30</v>
      </c>
    </row>
    <row r="25" spans="2:8" ht="20.25">
      <c r="B25" s="1" t="s">
        <v>33</v>
      </c>
      <c r="C25" s="1" t="s">
        <v>23</v>
      </c>
      <c r="D25" s="7" t="s">
        <v>17</v>
      </c>
      <c r="E25" s="7" t="s">
        <v>17</v>
      </c>
      <c r="F25" s="7" t="s">
        <v>17</v>
      </c>
      <c r="H25" s="11">
        <f>H15</f>
        <v>29.126213592233007</v>
      </c>
    </row>
    <row r="26" spans="2:8" ht="20.25">
      <c r="B26" s="1" t="s">
        <v>21</v>
      </c>
      <c r="C26" s="1" t="s">
        <v>3</v>
      </c>
      <c r="D26" s="7" t="s">
        <v>17</v>
      </c>
      <c r="E26" s="7" t="s">
        <v>17</v>
      </c>
      <c r="F26" s="7" t="s">
        <v>17</v>
      </c>
      <c r="H26" s="9">
        <f>H19</f>
        <v>2.088</v>
      </c>
    </row>
    <row r="27" spans="2:8" ht="20.25">
      <c r="B27" s="1" t="s">
        <v>26</v>
      </c>
      <c r="C27" s="1" t="s">
        <v>27</v>
      </c>
      <c r="D27" s="7" t="s">
        <v>17</v>
      </c>
      <c r="E27" s="7" t="s">
        <v>17</v>
      </c>
      <c r="F27" s="7" t="s">
        <v>17</v>
      </c>
      <c r="H27" s="8">
        <v>600</v>
      </c>
    </row>
    <row r="28" spans="2:10" ht="18">
      <c r="B28" s="1" t="s">
        <v>34</v>
      </c>
      <c r="C28" s="1" t="s">
        <v>28</v>
      </c>
      <c r="D28" s="7" t="s">
        <v>17</v>
      </c>
      <c r="E28" s="7" t="s">
        <v>17</v>
      </c>
      <c r="F28" s="7" t="s">
        <v>17</v>
      </c>
      <c r="H28" s="9">
        <f>H27/H24</f>
        <v>20</v>
      </c>
      <c r="J28" s="22" t="s">
        <v>76</v>
      </c>
    </row>
    <row r="29" spans="2:10" ht="21">
      <c r="B29" s="1" t="s">
        <v>35</v>
      </c>
      <c r="C29" s="1" t="s">
        <v>36</v>
      </c>
      <c r="D29" s="7" t="s">
        <v>17</v>
      </c>
      <c r="E29" s="7" t="s">
        <v>17</v>
      </c>
      <c r="F29" s="7" t="s">
        <v>17</v>
      </c>
      <c r="H29" s="9">
        <f>H26*1000/H27</f>
        <v>3.48</v>
      </c>
      <c r="J29" s="22" t="s">
        <v>77</v>
      </c>
    </row>
    <row r="30" ht="6" customHeight="1"/>
    <row r="31" spans="2:10" s="13" customFormat="1" ht="18">
      <c r="B31" s="13" t="s">
        <v>38</v>
      </c>
      <c r="J31" s="23"/>
    </row>
    <row r="32" spans="2:8" ht="20.25">
      <c r="B32" s="1" t="s">
        <v>22</v>
      </c>
      <c r="C32" s="1" t="s">
        <v>23</v>
      </c>
      <c r="D32" s="3">
        <f>D20</f>
        <v>396.72</v>
      </c>
      <c r="E32" s="3">
        <f>E20</f>
        <v>0</v>
      </c>
      <c r="F32" s="3">
        <f>F20</f>
        <v>0</v>
      </c>
      <c r="H32" s="3">
        <f>H20</f>
        <v>396.72</v>
      </c>
    </row>
    <row r="33" spans="2:10" ht="20.25">
      <c r="B33" s="1" t="s">
        <v>39</v>
      </c>
      <c r="C33" s="1" t="s">
        <v>40</v>
      </c>
      <c r="D33" s="3">
        <f>D32*35.7</f>
        <v>14162.904000000002</v>
      </c>
      <c r="E33" s="3">
        <f>E32*35.7</f>
        <v>0</v>
      </c>
      <c r="F33" s="3">
        <f>F32*35.7</f>
        <v>0</v>
      </c>
      <c r="H33" s="3">
        <f>H32*35.7</f>
        <v>14162.904000000002</v>
      </c>
      <c r="J33" s="22" t="s">
        <v>78</v>
      </c>
    </row>
    <row r="34" spans="2:10" ht="20.25">
      <c r="B34" s="1" t="s">
        <v>39</v>
      </c>
      <c r="C34" s="1" t="s">
        <v>67</v>
      </c>
      <c r="D34" s="3">
        <f>D33*1000/3600</f>
        <v>3934.1400000000003</v>
      </c>
      <c r="E34" s="3">
        <f>E33*1000/3600</f>
        <v>0</v>
      </c>
      <c r="F34" s="3">
        <f>F33*1000/3600</f>
        <v>0</v>
      </c>
      <c r="H34" s="3">
        <f>H33*1000/3600</f>
        <v>3934.1400000000003</v>
      </c>
      <c r="J34" s="22" t="s">
        <v>79</v>
      </c>
    </row>
    <row r="35" spans="2:10" ht="18">
      <c r="B35" s="1" t="s">
        <v>39</v>
      </c>
      <c r="C35" s="1" t="s">
        <v>41</v>
      </c>
      <c r="D35" s="3">
        <f>D34/24</f>
        <v>163.9225</v>
      </c>
      <c r="E35" s="3">
        <f>E34/24</f>
        <v>0</v>
      </c>
      <c r="F35" s="3">
        <f>F34/24</f>
        <v>0</v>
      </c>
      <c r="H35" s="3">
        <f>H34/24</f>
        <v>163.9225</v>
      </c>
      <c r="J35" s="22" t="s">
        <v>80</v>
      </c>
    </row>
    <row r="36" spans="2:8" ht="18">
      <c r="B36" s="1" t="s">
        <v>42</v>
      </c>
      <c r="C36" s="1" t="s">
        <v>4</v>
      </c>
      <c r="D36" s="7" t="s">
        <v>17</v>
      </c>
      <c r="E36" s="7" t="s">
        <v>17</v>
      </c>
      <c r="F36" s="7" t="s">
        <v>17</v>
      </c>
      <c r="H36" s="6">
        <v>0.05</v>
      </c>
    </row>
    <row r="37" spans="2:8" ht="18">
      <c r="B37" s="1" t="s">
        <v>43</v>
      </c>
      <c r="C37" s="1" t="s">
        <v>4</v>
      </c>
      <c r="D37" s="7" t="s">
        <v>17</v>
      </c>
      <c r="E37" s="7" t="s">
        <v>17</v>
      </c>
      <c r="F37" s="7" t="s">
        <v>17</v>
      </c>
      <c r="H37" s="6">
        <v>0.9</v>
      </c>
    </row>
    <row r="38" spans="2:8" ht="18">
      <c r="B38" s="1" t="s">
        <v>44</v>
      </c>
      <c r="C38" s="1" t="s">
        <v>4</v>
      </c>
      <c r="D38" s="7" t="s">
        <v>17</v>
      </c>
      <c r="E38" s="7" t="s">
        <v>17</v>
      </c>
      <c r="F38" s="7" t="s">
        <v>17</v>
      </c>
      <c r="H38" s="2">
        <f>1-H36-H37</f>
        <v>0.04999999999999993</v>
      </c>
    </row>
    <row r="39" spans="2:8" ht="18">
      <c r="B39" s="1" t="s">
        <v>45</v>
      </c>
      <c r="C39" s="1" t="s">
        <v>4</v>
      </c>
      <c r="D39" s="7" t="s">
        <v>17</v>
      </c>
      <c r="E39" s="7" t="s">
        <v>17</v>
      </c>
      <c r="F39" s="7" t="s">
        <v>17</v>
      </c>
      <c r="H39" s="6">
        <v>0.85</v>
      </c>
    </row>
    <row r="40" spans="2:8" ht="18">
      <c r="B40" s="1" t="s">
        <v>46</v>
      </c>
      <c r="C40" s="1" t="s">
        <v>4</v>
      </c>
      <c r="D40" s="7" t="s">
        <v>17</v>
      </c>
      <c r="E40" s="7" t="s">
        <v>17</v>
      </c>
      <c r="F40" s="7" t="s">
        <v>17</v>
      </c>
      <c r="H40" s="6">
        <v>0.3</v>
      </c>
    </row>
    <row r="41" spans="2:10" ht="18">
      <c r="B41" s="1" t="s">
        <v>47</v>
      </c>
      <c r="C41" s="1" t="s">
        <v>4</v>
      </c>
      <c r="D41" s="7" t="s">
        <v>17</v>
      </c>
      <c r="E41" s="7" t="s">
        <v>17</v>
      </c>
      <c r="F41" s="7" t="s">
        <v>17</v>
      </c>
      <c r="H41" s="2">
        <f>0.85-H40</f>
        <v>0.55</v>
      </c>
      <c r="J41" s="22" t="s">
        <v>81</v>
      </c>
    </row>
    <row r="42" spans="4:8" ht="6" customHeight="1">
      <c r="D42" s="7"/>
      <c r="E42" s="7"/>
      <c r="F42" s="7"/>
      <c r="H42" s="2"/>
    </row>
    <row r="43" spans="2:10" s="13" customFormat="1" ht="18">
      <c r="B43" s="13" t="s">
        <v>63</v>
      </c>
      <c r="D43" s="19"/>
      <c r="E43" s="19"/>
      <c r="F43" s="19"/>
      <c r="H43" s="20"/>
      <c r="J43" s="23"/>
    </row>
    <row r="44" spans="2:10" ht="18">
      <c r="B44" s="1" t="s">
        <v>48</v>
      </c>
      <c r="C44" s="1" t="s">
        <v>41</v>
      </c>
      <c r="D44" s="7" t="s">
        <v>17</v>
      </c>
      <c r="E44" s="7" t="s">
        <v>17</v>
      </c>
      <c r="F44" s="7" t="s">
        <v>17</v>
      </c>
      <c r="H44" s="3">
        <f>H35*H36*H39</f>
        <v>6.96670625</v>
      </c>
      <c r="J44" s="22" t="s">
        <v>84</v>
      </c>
    </row>
    <row r="45" spans="2:10" ht="18">
      <c r="B45" s="1" t="s">
        <v>49</v>
      </c>
      <c r="C45" s="1" t="s">
        <v>41</v>
      </c>
      <c r="D45" s="7" t="s">
        <v>17</v>
      </c>
      <c r="E45" s="7" t="s">
        <v>17</v>
      </c>
      <c r="F45" s="7" t="s">
        <v>17</v>
      </c>
      <c r="H45" s="3">
        <f>H35*H37*H41</f>
        <v>81.14163750000002</v>
      </c>
      <c r="J45" s="22" t="s">
        <v>85</v>
      </c>
    </row>
    <row r="46" spans="2:8" ht="18">
      <c r="B46" s="1" t="s">
        <v>50</v>
      </c>
      <c r="C46" s="1" t="s">
        <v>41</v>
      </c>
      <c r="D46" s="7" t="s">
        <v>17</v>
      </c>
      <c r="E46" s="7" t="s">
        <v>17</v>
      </c>
      <c r="F46" s="7" t="s">
        <v>17</v>
      </c>
      <c r="H46" s="3">
        <f>H44+H45</f>
        <v>88.10834375000002</v>
      </c>
    </row>
    <row r="47" spans="2:10" ht="20.25">
      <c r="B47" s="1" t="s">
        <v>50</v>
      </c>
      <c r="C47" s="1" t="s">
        <v>67</v>
      </c>
      <c r="D47" s="7" t="s">
        <v>17</v>
      </c>
      <c r="E47" s="7" t="s">
        <v>17</v>
      </c>
      <c r="F47" s="7" t="s">
        <v>17</v>
      </c>
      <c r="H47" s="3">
        <f>H46*24</f>
        <v>2114.6002500000004</v>
      </c>
      <c r="J47" s="22" t="s">
        <v>82</v>
      </c>
    </row>
    <row r="48" spans="2:10" ht="18">
      <c r="B48" s="1" t="s">
        <v>51</v>
      </c>
      <c r="C48" s="1" t="s">
        <v>41</v>
      </c>
      <c r="D48" s="7" t="s">
        <v>17</v>
      </c>
      <c r="E48" s="7" t="s">
        <v>17</v>
      </c>
      <c r="F48" s="7" t="s">
        <v>17</v>
      </c>
      <c r="H48" s="3">
        <f>H35*H37*H40</f>
        <v>44.259075</v>
      </c>
      <c r="J48" s="22" t="s">
        <v>83</v>
      </c>
    </row>
    <row r="49" spans="2:8" ht="20.25">
      <c r="B49" s="1" t="s">
        <v>51</v>
      </c>
      <c r="C49" s="1" t="s">
        <v>67</v>
      </c>
      <c r="D49" s="7" t="s">
        <v>17</v>
      </c>
      <c r="E49" s="7" t="s">
        <v>17</v>
      </c>
      <c r="F49" s="7" t="s">
        <v>17</v>
      </c>
      <c r="H49" s="3">
        <f>H48*24</f>
        <v>1062.2178000000001</v>
      </c>
    </row>
    <row r="50" ht="6" customHeight="1"/>
    <row r="51" spans="2:10" s="13" customFormat="1" ht="18">
      <c r="B51" s="13" t="s">
        <v>64</v>
      </c>
      <c r="J51" s="23"/>
    </row>
    <row r="52" spans="2:8" ht="20.25">
      <c r="B52" s="1" t="s">
        <v>52</v>
      </c>
      <c r="C52" s="15" t="s">
        <v>53</v>
      </c>
      <c r="D52" s="17">
        <v>10</v>
      </c>
      <c r="E52" s="17">
        <v>25</v>
      </c>
      <c r="F52" s="17">
        <v>15</v>
      </c>
      <c r="H52" s="16">
        <f>((D52*D14)+(E52*E14)+(F52*F14))/H14</f>
        <v>10</v>
      </c>
    </row>
    <row r="53" spans="2:8" ht="20.25">
      <c r="B53" s="1" t="s">
        <v>54</v>
      </c>
      <c r="C53" s="15" t="s">
        <v>53</v>
      </c>
      <c r="D53" s="7" t="s">
        <v>17</v>
      </c>
      <c r="E53" s="7" t="s">
        <v>17</v>
      </c>
      <c r="F53" s="7" t="s">
        <v>17</v>
      </c>
      <c r="H53" s="17">
        <v>40</v>
      </c>
    </row>
    <row r="54" spans="2:10" ht="20.25">
      <c r="B54" s="1" t="s">
        <v>55</v>
      </c>
      <c r="C54" s="1" t="s">
        <v>40</v>
      </c>
      <c r="D54" s="3">
        <f>D14*($H53-D52)*4.19</f>
        <v>3771.0000000000005</v>
      </c>
      <c r="E54" s="3">
        <f>E14*($H53-E52)*4.19</f>
        <v>0</v>
      </c>
      <c r="F54" s="3">
        <f>F14*($H53-F52)*4.19</f>
        <v>0</v>
      </c>
      <c r="H54" s="3">
        <f>SUM(D54:G54)</f>
        <v>3771.0000000000005</v>
      </c>
      <c r="J54" s="22" t="s">
        <v>86</v>
      </c>
    </row>
    <row r="55" spans="2:10" ht="18">
      <c r="B55" s="1" t="s">
        <v>55</v>
      </c>
      <c r="C55" s="1" t="s">
        <v>41</v>
      </c>
      <c r="D55" s="3">
        <f>D54*1000/24/3600</f>
        <v>43.64583333333334</v>
      </c>
      <c r="E55" s="3">
        <f>E54*1000/24/3600</f>
        <v>0</v>
      </c>
      <c r="F55" s="3">
        <f>F54*1000/24/3600</f>
        <v>0</v>
      </c>
      <c r="H55" s="3">
        <f>SUM(D55:G55)</f>
        <v>43.64583333333334</v>
      </c>
      <c r="J55" s="22" t="s">
        <v>87</v>
      </c>
    </row>
    <row r="56" spans="2:10" ht="20.25">
      <c r="B56" s="1" t="s">
        <v>56</v>
      </c>
      <c r="C56" s="1" t="s">
        <v>57</v>
      </c>
      <c r="D56" s="7" t="s">
        <v>17</v>
      </c>
      <c r="E56" s="7" t="s">
        <v>17</v>
      </c>
      <c r="F56" s="7" t="s">
        <v>17</v>
      </c>
      <c r="H56" s="3">
        <f>POWER((H27/2/PI()),2/3)*6*PI()</f>
        <v>393.8057422012396</v>
      </c>
      <c r="J56" s="22" t="s">
        <v>88</v>
      </c>
    </row>
    <row r="57" spans="2:10" ht="20.25">
      <c r="B57" s="1" t="s">
        <v>58</v>
      </c>
      <c r="C57" s="1" t="s">
        <v>59</v>
      </c>
      <c r="D57" s="7" t="s">
        <v>17</v>
      </c>
      <c r="E57" s="7" t="s">
        <v>17</v>
      </c>
      <c r="F57" s="7" t="s">
        <v>17</v>
      </c>
      <c r="H57" s="18">
        <v>0.35</v>
      </c>
      <c r="J57" s="22" t="s">
        <v>89</v>
      </c>
    </row>
    <row r="58" spans="2:8" ht="20.25">
      <c r="B58" s="1" t="s">
        <v>61</v>
      </c>
      <c r="C58" s="15" t="s">
        <v>53</v>
      </c>
      <c r="D58" s="7" t="s">
        <v>17</v>
      </c>
      <c r="E58" s="7" t="s">
        <v>17</v>
      </c>
      <c r="F58" s="7" t="s">
        <v>17</v>
      </c>
      <c r="H58" s="17">
        <v>5</v>
      </c>
    </row>
    <row r="59" spans="2:10" ht="18">
      <c r="B59" s="1" t="s">
        <v>60</v>
      </c>
      <c r="C59" s="1" t="s">
        <v>41</v>
      </c>
      <c r="D59" s="7" t="s">
        <v>17</v>
      </c>
      <c r="E59" s="7" t="s">
        <v>17</v>
      </c>
      <c r="F59" s="7" t="s">
        <v>17</v>
      </c>
      <c r="H59" s="3">
        <f>H56*(H53-H58)*H57/1000</f>
        <v>4.824120341965185</v>
      </c>
      <c r="J59" s="22" t="s">
        <v>90</v>
      </c>
    </row>
    <row r="60" spans="2:10" ht="20.25">
      <c r="B60" s="1" t="s">
        <v>60</v>
      </c>
      <c r="C60" s="1" t="s">
        <v>40</v>
      </c>
      <c r="D60" s="7" t="s">
        <v>17</v>
      </c>
      <c r="E60" s="7" t="s">
        <v>17</v>
      </c>
      <c r="F60" s="7" t="s">
        <v>17</v>
      </c>
      <c r="H60" s="3">
        <f>H59*3600*24/1000</f>
        <v>416.803997545792</v>
      </c>
      <c r="J60" s="22" t="s">
        <v>87</v>
      </c>
    </row>
    <row r="61" spans="2:10" ht="20.25">
      <c r="B61" s="1" t="s">
        <v>65</v>
      </c>
      <c r="C61" s="1" t="s">
        <v>40</v>
      </c>
      <c r="D61" s="7" t="s">
        <v>17</v>
      </c>
      <c r="E61" s="7" t="s">
        <v>17</v>
      </c>
      <c r="F61" s="7" t="s">
        <v>17</v>
      </c>
      <c r="H61" s="3">
        <f>H54+H60</f>
        <v>4187.803997545792</v>
      </c>
      <c r="J61" s="22" t="s">
        <v>91</v>
      </c>
    </row>
    <row r="62" spans="2:10" ht="18">
      <c r="B62" s="1" t="s">
        <v>65</v>
      </c>
      <c r="C62" s="1" t="s">
        <v>41</v>
      </c>
      <c r="D62" s="7" t="s">
        <v>17</v>
      </c>
      <c r="E62" s="7" t="s">
        <v>17</v>
      </c>
      <c r="F62" s="7" t="s">
        <v>17</v>
      </c>
      <c r="H62" s="3">
        <f>H61*1000/24/3600</f>
        <v>48.46995367529852</v>
      </c>
      <c r="J62" s="22" t="s">
        <v>87</v>
      </c>
    </row>
    <row r="63" spans="2:8" ht="18">
      <c r="B63" s="1" t="s">
        <v>62</v>
      </c>
      <c r="C63" s="1" t="s">
        <v>4</v>
      </c>
      <c r="D63" s="7" t="s">
        <v>17</v>
      </c>
      <c r="E63" s="7" t="s">
        <v>17</v>
      </c>
      <c r="F63" s="7" t="s">
        <v>17</v>
      </c>
      <c r="H63" s="2">
        <f>H62/H46</f>
        <v>0.5501176348613239</v>
      </c>
    </row>
    <row r="64" ht="6" customHeight="1"/>
    <row r="65" spans="2:10" s="13" customFormat="1" ht="18">
      <c r="B65" s="13" t="s">
        <v>69</v>
      </c>
      <c r="J65" s="23"/>
    </row>
    <row r="66" spans="2:8" ht="18">
      <c r="B66" s="1" t="s">
        <v>51</v>
      </c>
      <c r="C66" s="1" t="s">
        <v>41</v>
      </c>
      <c r="D66" s="7" t="s">
        <v>17</v>
      </c>
      <c r="E66" s="7" t="s">
        <v>17</v>
      </c>
      <c r="F66" s="7" t="s">
        <v>17</v>
      </c>
      <c r="H66" s="3">
        <f>H48</f>
        <v>44.259075</v>
      </c>
    </row>
    <row r="67" spans="2:8" ht="20.25">
      <c r="B67" s="1" t="s">
        <v>66</v>
      </c>
      <c r="C67" s="1" t="s">
        <v>67</v>
      </c>
      <c r="D67" s="7" t="s">
        <v>17</v>
      </c>
      <c r="E67" s="7" t="s">
        <v>17</v>
      </c>
      <c r="F67" s="7" t="s">
        <v>17</v>
      </c>
      <c r="H67" s="8">
        <v>50</v>
      </c>
    </row>
    <row r="68" spans="2:10" ht="18">
      <c r="B68" s="1" t="s">
        <v>66</v>
      </c>
      <c r="C68" s="1" t="s">
        <v>41</v>
      </c>
      <c r="D68" s="7" t="s">
        <v>17</v>
      </c>
      <c r="E68" s="7" t="s">
        <v>17</v>
      </c>
      <c r="F68" s="7" t="s">
        <v>17</v>
      </c>
      <c r="H68" s="3">
        <f>H67/24</f>
        <v>2.0833333333333335</v>
      </c>
      <c r="J68" s="22" t="s">
        <v>92</v>
      </c>
    </row>
    <row r="69" spans="2:8" ht="18">
      <c r="B69" s="1" t="s">
        <v>68</v>
      </c>
      <c r="C69" s="1" t="s">
        <v>4</v>
      </c>
      <c r="D69" s="7" t="s">
        <v>17</v>
      </c>
      <c r="E69" s="7" t="s">
        <v>17</v>
      </c>
      <c r="F69" s="7" t="s">
        <v>17</v>
      </c>
      <c r="H69" s="2">
        <f>H68/H66</f>
        <v>0.04707132567351065</v>
      </c>
    </row>
    <row r="70" ht="6" customHeight="1"/>
    <row r="71" spans="2:8" ht="18">
      <c r="B71" s="1" t="s">
        <v>93</v>
      </c>
      <c r="C71" s="1" t="s">
        <v>41</v>
      </c>
      <c r="D71" s="7" t="s">
        <v>17</v>
      </c>
      <c r="E71" s="7" t="s">
        <v>17</v>
      </c>
      <c r="F71" s="7" t="s">
        <v>17</v>
      </c>
      <c r="H71" s="3">
        <f>H46</f>
        <v>88.10834375000002</v>
      </c>
    </row>
    <row r="72" spans="2:8" ht="20.25">
      <c r="B72" s="1" t="s">
        <v>65</v>
      </c>
      <c r="C72" s="1" t="s">
        <v>40</v>
      </c>
      <c r="D72" s="7" t="s">
        <v>17</v>
      </c>
      <c r="E72" s="7" t="s">
        <v>17</v>
      </c>
      <c r="F72" s="7" t="s">
        <v>17</v>
      </c>
      <c r="H72" s="3">
        <f>H61</f>
        <v>4187.803997545792</v>
      </c>
    </row>
    <row r="73" spans="2:10" ht="18">
      <c r="B73" s="1" t="s">
        <v>65</v>
      </c>
      <c r="C73" s="1" t="s">
        <v>41</v>
      </c>
      <c r="D73" s="7" t="s">
        <v>17</v>
      </c>
      <c r="E73" s="7" t="s">
        <v>17</v>
      </c>
      <c r="F73" s="7" t="s">
        <v>17</v>
      </c>
      <c r="H73" s="3">
        <f>H72*1000/24/3600</f>
        <v>48.46995367529852</v>
      </c>
      <c r="J73" s="22" t="s">
        <v>87</v>
      </c>
    </row>
    <row r="74" spans="2:8" ht="18">
      <c r="B74" s="1" t="s">
        <v>62</v>
      </c>
      <c r="C74" s="1" t="s">
        <v>4</v>
      </c>
      <c r="D74" s="7" t="s">
        <v>17</v>
      </c>
      <c r="E74" s="7" t="s">
        <v>17</v>
      </c>
      <c r="F74" s="7" t="s">
        <v>17</v>
      </c>
      <c r="H74" s="2">
        <f>H73/H71</f>
        <v>0.5501176348613239</v>
      </c>
    </row>
    <row r="75" ht="6" customHeight="1"/>
    <row r="76" spans="2:10" s="13" customFormat="1" ht="18">
      <c r="B76" s="13" t="s">
        <v>94</v>
      </c>
      <c r="J76" s="23"/>
    </row>
    <row r="77" spans="2:8" ht="20.25">
      <c r="B77" s="1" t="s">
        <v>25</v>
      </c>
      <c r="C77" s="1" t="s">
        <v>19</v>
      </c>
      <c r="D77" s="3">
        <f>D16</f>
        <v>10950</v>
      </c>
      <c r="E77" s="3">
        <f>E16</f>
        <v>0</v>
      </c>
      <c r="F77" s="3">
        <f>F16</f>
        <v>0</v>
      </c>
      <c r="H77" s="3">
        <f aca="true" t="shared" si="0" ref="H77:H84">SUM(D77:G77)</f>
        <v>10950</v>
      </c>
    </row>
    <row r="78" spans="2:8" ht="21">
      <c r="B78" s="1" t="s">
        <v>96</v>
      </c>
      <c r="C78" s="1" t="s">
        <v>95</v>
      </c>
      <c r="D78" s="3">
        <f>D20*365</f>
        <v>144802.80000000002</v>
      </c>
      <c r="E78" s="3">
        <f>E20*365</f>
        <v>0</v>
      </c>
      <c r="F78" s="3">
        <f>F20*365</f>
        <v>0</v>
      </c>
      <c r="H78" s="3">
        <f t="shared" si="0"/>
        <v>144802.80000000002</v>
      </c>
    </row>
    <row r="79" spans="2:10" ht="21">
      <c r="B79" s="1" t="s">
        <v>97</v>
      </c>
      <c r="C79" s="1" t="s">
        <v>95</v>
      </c>
      <c r="D79" s="3">
        <f>D21*365-D78</f>
        <v>104857.20000000001</v>
      </c>
      <c r="E79" s="3">
        <f>E21*365-E78</f>
        <v>0</v>
      </c>
      <c r="F79" s="3">
        <f>F21*365-F78</f>
        <v>0</v>
      </c>
      <c r="H79" s="3">
        <f t="shared" si="0"/>
        <v>104857.20000000001</v>
      </c>
      <c r="J79" s="22" t="s">
        <v>104</v>
      </c>
    </row>
    <row r="80" spans="2:10" ht="21">
      <c r="B80" s="1" t="s">
        <v>98</v>
      </c>
      <c r="C80" s="1" t="s">
        <v>19</v>
      </c>
      <c r="D80" s="3">
        <f>D78*0.71/1000</f>
        <v>102.80998800000002</v>
      </c>
      <c r="E80" s="3">
        <f>E78*0.71/1000</f>
        <v>0</v>
      </c>
      <c r="F80" s="3">
        <f>F78*0.71/1000</f>
        <v>0</v>
      </c>
      <c r="H80" s="3">
        <f t="shared" si="0"/>
        <v>102.80998800000002</v>
      </c>
      <c r="J80" s="22" t="s">
        <v>106</v>
      </c>
    </row>
    <row r="81" spans="2:10" ht="21">
      <c r="B81" s="1" t="s">
        <v>99</v>
      </c>
      <c r="C81" s="1" t="s">
        <v>19</v>
      </c>
      <c r="D81" s="3">
        <f>D79*1.96/1000</f>
        <v>205.520112</v>
      </c>
      <c r="E81" s="3">
        <f>E79*1.96/1000</f>
        <v>0</v>
      </c>
      <c r="F81" s="3">
        <f>F79*1.96/1000</f>
        <v>0</v>
      </c>
      <c r="H81" s="3">
        <f t="shared" si="0"/>
        <v>205.520112</v>
      </c>
      <c r="J81" s="22" t="s">
        <v>105</v>
      </c>
    </row>
    <row r="82" spans="2:8" ht="20.25">
      <c r="B82" s="1" t="s">
        <v>100</v>
      </c>
      <c r="C82" s="1" t="s">
        <v>19</v>
      </c>
      <c r="D82" s="3">
        <f>D80+D81</f>
        <v>308.3301</v>
      </c>
      <c r="E82" s="3">
        <f>E80+E81</f>
        <v>0</v>
      </c>
      <c r="F82" s="3">
        <f>F80+F81</f>
        <v>0</v>
      </c>
      <c r="H82" s="3">
        <f t="shared" si="0"/>
        <v>308.3301</v>
      </c>
    </row>
    <row r="83" spans="2:10" ht="20.25">
      <c r="B83" s="1" t="s">
        <v>101</v>
      </c>
      <c r="C83" s="1" t="s">
        <v>19</v>
      </c>
      <c r="D83" s="3">
        <f>D77-D82</f>
        <v>10641.6699</v>
      </c>
      <c r="E83" s="3">
        <f>E77-E82</f>
        <v>0</v>
      </c>
      <c r="F83" s="3">
        <f>F77-F82</f>
        <v>0</v>
      </c>
      <c r="H83" s="3">
        <f t="shared" si="0"/>
        <v>10641.6699</v>
      </c>
      <c r="J83" s="22" t="s">
        <v>107</v>
      </c>
    </row>
    <row r="84" spans="2:8" ht="20.25">
      <c r="B84" s="1" t="s">
        <v>103</v>
      </c>
      <c r="C84" s="1" t="s">
        <v>19</v>
      </c>
      <c r="D84" s="3">
        <f>D77-D83</f>
        <v>308.3300999999992</v>
      </c>
      <c r="E84" s="3">
        <f>E77-E83</f>
        <v>0</v>
      </c>
      <c r="F84" s="3">
        <f>F77-F83</f>
        <v>0</v>
      </c>
      <c r="H84" s="3">
        <f t="shared" si="0"/>
        <v>308.3300999999992</v>
      </c>
    </row>
    <row r="85" spans="2:8" ht="18">
      <c r="B85" s="1" t="s">
        <v>102</v>
      </c>
      <c r="C85" s="1" t="s">
        <v>4</v>
      </c>
      <c r="D85" s="2">
        <f>D84/D77</f>
        <v>0.02815799999999993</v>
      </c>
      <c r="E85" s="2" t="e">
        <f>E84/E77</f>
        <v>#DIV/0!</v>
      </c>
      <c r="F85" s="2" t="e">
        <f>F84/F77</f>
        <v>#DIV/0!</v>
      </c>
      <c r="H85" s="2">
        <f>H84/H77</f>
        <v>0.02815799999999993</v>
      </c>
    </row>
    <row r="86" ht="6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.7109375" style="1" customWidth="1"/>
    <col min="2" max="2" width="34.7109375" style="1" customWidth="1"/>
    <col min="3" max="3" width="18.7109375" style="1" customWidth="1"/>
    <col min="4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29.421875" style="22" customWidth="1"/>
    <col min="11" max="16384" width="9.140625" style="1" customWidth="1"/>
  </cols>
  <sheetData>
    <row r="1" ht="6" customHeight="1"/>
    <row r="2" spans="2:10" s="13" customFormat="1" ht="18">
      <c r="B2" s="13" t="s">
        <v>0</v>
      </c>
      <c r="J2" s="23"/>
    </row>
    <row r="3" spans="2:10" s="13" customFormat="1" ht="18">
      <c r="B3" s="13" t="s">
        <v>109</v>
      </c>
      <c r="J3" s="23"/>
    </row>
    <row r="4" s="13" customFormat="1" ht="6" customHeight="1">
      <c r="J4" s="23"/>
    </row>
    <row r="5" spans="2:10" s="13" customFormat="1" ht="36">
      <c r="B5" s="13" t="s">
        <v>1</v>
      </c>
      <c r="D5" s="14" t="s">
        <v>10</v>
      </c>
      <c r="E5" s="14" t="s">
        <v>11</v>
      </c>
      <c r="F5" s="14" t="s">
        <v>12</v>
      </c>
      <c r="G5" s="14"/>
      <c r="H5" s="14" t="s">
        <v>13</v>
      </c>
      <c r="J5" s="23" t="s">
        <v>70</v>
      </c>
    </row>
    <row r="6" ht="6" customHeight="1"/>
    <row r="7" spans="2:8" ht="19.5" customHeight="1">
      <c r="B7" s="1" t="s">
        <v>8</v>
      </c>
      <c r="C7" s="1" t="s">
        <v>4</v>
      </c>
      <c r="D7" s="4">
        <v>0.08</v>
      </c>
      <c r="E7" s="4">
        <v>0.33</v>
      </c>
      <c r="F7" s="4">
        <v>0.25</v>
      </c>
      <c r="H7" s="2">
        <f>H18/H14</f>
        <v>0.18</v>
      </c>
    </row>
    <row r="8" spans="2:8" ht="19.5" customHeight="1">
      <c r="B8" s="1" t="s">
        <v>9</v>
      </c>
      <c r="C8" s="1" t="s">
        <v>4</v>
      </c>
      <c r="D8" s="4">
        <v>0.87</v>
      </c>
      <c r="E8" s="4">
        <v>0.95</v>
      </c>
      <c r="F8" s="4">
        <v>0.9</v>
      </c>
      <c r="H8" s="2">
        <f>H19/H18</f>
        <v>0.9286666666666668</v>
      </c>
    </row>
    <row r="9" spans="2:8" ht="19.5" customHeight="1">
      <c r="B9" s="1" t="s">
        <v>7</v>
      </c>
      <c r="C9" s="1" t="s">
        <v>4</v>
      </c>
      <c r="D9" s="4">
        <v>0.58</v>
      </c>
      <c r="E9" s="4">
        <v>0.55</v>
      </c>
      <c r="F9" s="4">
        <v>0.6</v>
      </c>
      <c r="H9" s="2">
        <f>H20/H21</f>
        <v>0.5539130434782609</v>
      </c>
    </row>
    <row r="10" spans="2:8" ht="19.5" customHeight="1">
      <c r="B10" s="1" t="s">
        <v>5</v>
      </c>
      <c r="C10" s="1" t="s">
        <v>6</v>
      </c>
      <c r="D10" s="5">
        <v>190</v>
      </c>
      <c r="E10" s="5">
        <v>400</v>
      </c>
      <c r="F10" s="5">
        <v>420</v>
      </c>
      <c r="H10" s="3">
        <f>H20/H19</f>
        <v>347.53768844221105</v>
      </c>
    </row>
    <row r="11" spans="2:8" ht="19.5" customHeight="1">
      <c r="B11" s="1" t="s">
        <v>30</v>
      </c>
      <c r="C11" s="1" t="s">
        <v>31</v>
      </c>
      <c r="D11" s="12">
        <v>1.03</v>
      </c>
      <c r="E11" s="12">
        <v>1.05</v>
      </c>
      <c r="F11" s="12">
        <v>1.05</v>
      </c>
      <c r="H11" s="21">
        <f>H14/H15</f>
        <v>1.037907869481766</v>
      </c>
    </row>
    <row r="12" spans="2:8" ht="19.5" customHeight="1">
      <c r="B12" s="1" t="s">
        <v>16</v>
      </c>
      <c r="C12" s="1" t="s">
        <v>29</v>
      </c>
      <c r="D12" s="5">
        <v>60</v>
      </c>
      <c r="E12" s="7" t="s">
        <v>17</v>
      </c>
      <c r="F12" s="7" t="s">
        <v>17</v>
      </c>
      <c r="H12" s="7" t="s">
        <v>17</v>
      </c>
    </row>
    <row r="13" spans="2:8" ht="19.5" customHeight="1">
      <c r="B13" s="1" t="s">
        <v>14</v>
      </c>
      <c r="C13" s="1" t="s">
        <v>15</v>
      </c>
      <c r="D13" s="8">
        <v>500</v>
      </c>
      <c r="E13" s="7" t="s">
        <v>17</v>
      </c>
      <c r="F13" s="7" t="s">
        <v>17</v>
      </c>
      <c r="H13" s="7" t="s">
        <v>17</v>
      </c>
    </row>
    <row r="14" spans="2:8" ht="19.5" customHeight="1">
      <c r="B14" s="1" t="s">
        <v>2</v>
      </c>
      <c r="C14" s="1" t="s">
        <v>3</v>
      </c>
      <c r="D14" s="9">
        <f>D13*D12/1000</f>
        <v>30</v>
      </c>
      <c r="E14" s="10">
        <v>20</v>
      </c>
      <c r="F14" s="10">
        <v>0</v>
      </c>
      <c r="G14" s="9"/>
      <c r="H14" s="9">
        <f>SUM(D14:G14)</f>
        <v>50</v>
      </c>
    </row>
    <row r="15" spans="2:10" ht="19.5" customHeight="1">
      <c r="B15" s="1" t="s">
        <v>32</v>
      </c>
      <c r="C15" s="1" t="s">
        <v>23</v>
      </c>
      <c r="D15" s="9">
        <f>D14/D11</f>
        <v>29.126213592233007</v>
      </c>
      <c r="E15" s="9">
        <f>E14/E11</f>
        <v>19.047619047619047</v>
      </c>
      <c r="F15" s="9">
        <f>F14/F11</f>
        <v>0</v>
      </c>
      <c r="G15" s="9"/>
      <c r="H15" s="9">
        <f>SUM(D15:G15)</f>
        <v>48.17383263985205</v>
      </c>
      <c r="J15" s="22" t="s">
        <v>71</v>
      </c>
    </row>
    <row r="16" spans="2:8" ht="20.25">
      <c r="B16" s="1" t="s">
        <v>2</v>
      </c>
      <c r="C16" s="1" t="s">
        <v>19</v>
      </c>
      <c r="D16" s="3">
        <f>D14*365</f>
        <v>10950</v>
      </c>
      <c r="E16" s="3">
        <f>E14*365</f>
        <v>7300</v>
      </c>
      <c r="F16" s="3">
        <f>F14*365</f>
        <v>0</v>
      </c>
      <c r="H16" s="3">
        <f>SUM(D16:G16)</f>
        <v>18250</v>
      </c>
    </row>
    <row r="17" ht="6" customHeight="1"/>
    <row r="18" spans="2:10" ht="20.25">
      <c r="B18" s="1" t="s">
        <v>20</v>
      </c>
      <c r="C18" s="1" t="s">
        <v>3</v>
      </c>
      <c r="D18" s="9">
        <f>D14*D7</f>
        <v>2.4</v>
      </c>
      <c r="E18" s="9">
        <f>E14*E7</f>
        <v>6.6000000000000005</v>
      </c>
      <c r="F18" s="9">
        <f>F14*F7</f>
        <v>0</v>
      </c>
      <c r="G18" s="9"/>
      <c r="H18" s="9">
        <f>SUM(D18:G18)</f>
        <v>9</v>
      </c>
      <c r="J18" s="22" t="s">
        <v>72</v>
      </c>
    </row>
    <row r="19" spans="2:10" ht="20.25">
      <c r="B19" s="1" t="s">
        <v>21</v>
      </c>
      <c r="C19" s="1" t="s">
        <v>3</v>
      </c>
      <c r="D19" s="9">
        <f>D18*D8</f>
        <v>2.088</v>
      </c>
      <c r="E19" s="9">
        <f>E18*E8</f>
        <v>6.2700000000000005</v>
      </c>
      <c r="F19" s="9">
        <f>F18*F8</f>
        <v>0</v>
      </c>
      <c r="H19" s="9">
        <f>SUM(D19:G19)</f>
        <v>8.358</v>
      </c>
      <c r="J19" s="22" t="s">
        <v>73</v>
      </c>
    </row>
    <row r="20" spans="2:10" ht="20.25">
      <c r="B20" s="1" t="s">
        <v>22</v>
      </c>
      <c r="C20" s="1" t="s">
        <v>23</v>
      </c>
      <c r="D20" s="3">
        <f>D19*D10</f>
        <v>396.72</v>
      </c>
      <c r="E20" s="3">
        <f>E19*E10</f>
        <v>2508</v>
      </c>
      <c r="F20" s="3">
        <f>F19*F10</f>
        <v>0</v>
      </c>
      <c r="H20" s="3">
        <f>SUM(D20:G20)</f>
        <v>2904.7200000000003</v>
      </c>
      <c r="J20" s="22" t="s">
        <v>74</v>
      </c>
    </row>
    <row r="21" spans="2:10" ht="20.25">
      <c r="B21" s="1" t="s">
        <v>24</v>
      </c>
      <c r="C21" s="1" t="s">
        <v>23</v>
      </c>
      <c r="D21" s="3">
        <f>D20/D9</f>
        <v>684.0000000000001</v>
      </c>
      <c r="E21" s="3">
        <f>E20/E9</f>
        <v>4560</v>
      </c>
      <c r="F21" s="3">
        <f>F20/F9</f>
        <v>0</v>
      </c>
      <c r="H21" s="3">
        <f>SUM(D21:G21)</f>
        <v>5244</v>
      </c>
      <c r="J21" s="22" t="s">
        <v>75</v>
      </c>
    </row>
    <row r="22" ht="6" customHeight="1"/>
    <row r="23" spans="2:10" s="13" customFormat="1" ht="18">
      <c r="B23" s="13" t="s">
        <v>37</v>
      </c>
      <c r="J23" s="23"/>
    </row>
    <row r="24" spans="2:8" ht="20.25">
      <c r="B24" s="1" t="s">
        <v>25</v>
      </c>
      <c r="C24" s="1" t="s">
        <v>3</v>
      </c>
      <c r="D24" s="7" t="s">
        <v>17</v>
      </c>
      <c r="E24" s="7" t="s">
        <v>17</v>
      </c>
      <c r="F24" s="7" t="s">
        <v>17</v>
      </c>
      <c r="H24" s="11">
        <f>H14</f>
        <v>50</v>
      </c>
    </row>
    <row r="25" spans="2:8" ht="20.25">
      <c r="B25" s="1" t="s">
        <v>33</v>
      </c>
      <c r="C25" s="1" t="s">
        <v>23</v>
      </c>
      <c r="D25" s="7" t="s">
        <v>17</v>
      </c>
      <c r="E25" s="7" t="s">
        <v>17</v>
      </c>
      <c r="F25" s="7" t="s">
        <v>17</v>
      </c>
      <c r="H25" s="11">
        <f>H15</f>
        <v>48.17383263985205</v>
      </c>
    </row>
    <row r="26" spans="2:8" ht="20.25">
      <c r="B26" s="1" t="s">
        <v>21</v>
      </c>
      <c r="C26" s="1" t="s">
        <v>3</v>
      </c>
      <c r="D26" s="7" t="s">
        <v>17</v>
      </c>
      <c r="E26" s="7" t="s">
        <v>17</v>
      </c>
      <c r="F26" s="7" t="s">
        <v>17</v>
      </c>
      <c r="H26" s="9">
        <f>H19</f>
        <v>8.358</v>
      </c>
    </row>
    <row r="27" spans="2:8" ht="20.25">
      <c r="B27" s="1" t="s">
        <v>26</v>
      </c>
      <c r="C27" s="1" t="s">
        <v>27</v>
      </c>
      <c r="D27" s="7" t="s">
        <v>17</v>
      </c>
      <c r="E27" s="7" t="s">
        <v>17</v>
      </c>
      <c r="F27" s="7" t="s">
        <v>17</v>
      </c>
      <c r="H27" s="8">
        <v>2300</v>
      </c>
    </row>
    <row r="28" spans="2:10" ht="18">
      <c r="B28" s="1" t="s">
        <v>34</v>
      </c>
      <c r="C28" s="1" t="s">
        <v>28</v>
      </c>
      <c r="D28" s="7" t="s">
        <v>17</v>
      </c>
      <c r="E28" s="7" t="s">
        <v>17</v>
      </c>
      <c r="F28" s="7" t="s">
        <v>17</v>
      </c>
      <c r="H28" s="9">
        <f>H27/H24</f>
        <v>46</v>
      </c>
      <c r="J28" s="22" t="s">
        <v>76</v>
      </c>
    </row>
    <row r="29" spans="2:10" ht="21">
      <c r="B29" s="1" t="s">
        <v>35</v>
      </c>
      <c r="C29" s="1" t="s">
        <v>36</v>
      </c>
      <c r="D29" s="7" t="s">
        <v>17</v>
      </c>
      <c r="E29" s="7" t="s">
        <v>17</v>
      </c>
      <c r="F29" s="7" t="s">
        <v>17</v>
      </c>
      <c r="H29" s="9">
        <f>H26*1000/H27</f>
        <v>3.6339130434782607</v>
      </c>
      <c r="J29" s="22" t="s">
        <v>77</v>
      </c>
    </row>
    <row r="30" ht="6" customHeight="1"/>
    <row r="31" spans="2:10" s="13" customFormat="1" ht="18">
      <c r="B31" s="13" t="s">
        <v>38</v>
      </c>
      <c r="J31" s="23"/>
    </row>
    <row r="32" spans="2:8" ht="20.25">
      <c r="B32" s="1" t="s">
        <v>22</v>
      </c>
      <c r="C32" s="1" t="s">
        <v>23</v>
      </c>
      <c r="D32" s="3">
        <f>D20</f>
        <v>396.72</v>
      </c>
      <c r="E32" s="3">
        <f>E20</f>
        <v>2508</v>
      </c>
      <c r="F32" s="3">
        <f>F20</f>
        <v>0</v>
      </c>
      <c r="H32" s="3">
        <f>H20</f>
        <v>2904.7200000000003</v>
      </c>
    </row>
    <row r="33" spans="2:10" ht="20.25">
      <c r="B33" s="1" t="s">
        <v>39</v>
      </c>
      <c r="C33" s="1" t="s">
        <v>40</v>
      </c>
      <c r="D33" s="3">
        <f>D32*35.7</f>
        <v>14162.904000000002</v>
      </c>
      <c r="E33" s="3">
        <f>E32*35.7</f>
        <v>89535.6</v>
      </c>
      <c r="F33" s="3">
        <f>F32*35.7</f>
        <v>0</v>
      </c>
      <c r="H33" s="3">
        <f>H32*35.7</f>
        <v>103698.50400000002</v>
      </c>
      <c r="J33" s="22" t="s">
        <v>78</v>
      </c>
    </row>
    <row r="34" spans="2:10" ht="20.25">
      <c r="B34" s="1" t="s">
        <v>39</v>
      </c>
      <c r="C34" s="1" t="s">
        <v>67</v>
      </c>
      <c r="D34" s="3">
        <f>D33*1000/3600</f>
        <v>3934.1400000000003</v>
      </c>
      <c r="E34" s="3">
        <f>E33*1000/3600</f>
        <v>24871</v>
      </c>
      <c r="F34" s="3">
        <f>F33*1000/3600</f>
        <v>0</v>
      </c>
      <c r="H34" s="3">
        <f>H33*1000/3600</f>
        <v>28805.140000000003</v>
      </c>
      <c r="J34" s="22" t="s">
        <v>79</v>
      </c>
    </row>
    <row r="35" spans="2:10" ht="18">
      <c r="B35" s="1" t="s">
        <v>39</v>
      </c>
      <c r="C35" s="1" t="s">
        <v>41</v>
      </c>
      <c r="D35" s="3">
        <f>D34/24</f>
        <v>163.9225</v>
      </c>
      <c r="E35" s="3">
        <f>E34/24</f>
        <v>1036.2916666666667</v>
      </c>
      <c r="F35" s="3">
        <f>F34/24</f>
        <v>0</v>
      </c>
      <c r="H35" s="3">
        <f>H34/24</f>
        <v>1200.2141666666669</v>
      </c>
      <c r="J35" s="22" t="s">
        <v>80</v>
      </c>
    </row>
    <row r="36" spans="2:8" ht="18">
      <c r="B36" s="1" t="s">
        <v>42</v>
      </c>
      <c r="C36" s="1" t="s">
        <v>4</v>
      </c>
      <c r="D36" s="7" t="s">
        <v>17</v>
      </c>
      <c r="E36" s="7" t="s">
        <v>17</v>
      </c>
      <c r="F36" s="7" t="s">
        <v>17</v>
      </c>
      <c r="H36" s="6">
        <v>0.05</v>
      </c>
    </row>
    <row r="37" spans="2:8" ht="18">
      <c r="B37" s="1" t="s">
        <v>43</v>
      </c>
      <c r="C37" s="1" t="s">
        <v>4</v>
      </c>
      <c r="D37" s="7" t="s">
        <v>17</v>
      </c>
      <c r="E37" s="7" t="s">
        <v>17</v>
      </c>
      <c r="F37" s="7" t="s">
        <v>17</v>
      </c>
      <c r="H37" s="6">
        <v>0.9</v>
      </c>
    </row>
    <row r="38" spans="2:8" ht="18">
      <c r="B38" s="1" t="s">
        <v>44</v>
      </c>
      <c r="C38" s="1" t="s">
        <v>4</v>
      </c>
      <c r="D38" s="7" t="s">
        <v>17</v>
      </c>
      <c r="E38" s="7" t="s">
        <v>17</v>
      </c>
      <c r="F38" s="7" t="s">
        <v>17</v>
      </c>
      <c r="H38" s="2">
        <f>1-H36-H37</f>
        <v>0.04999999999999993</v>
      </c>
    </row>
    <row r="39" spans="2:8" ht="18">
      <c r="B39" s="1" t="s">
        <v>45</v>
      </c>
      <c r="C39" s="1" t="s">
        <v>4</v>
      </c>
      <c r="D39" s="7" t="s">
        <v>17</v>
      </c>
      <c r="E39" s="7" t="s">
        <v>17</v>
      </c>
      <c r="F39" s="7" t="s">
        <v>17</v>
      </c>
      <c r="H39" s="6">
        <v>0.85</v>
      </c>
    </row>
    <row r="40" spans="2:8" ht="18">
      <c r="B40" s="1" t="s">
        <v>46</v>
      </c>
      <c r="C40" s="1" t="s">
        <v>4</v>
      </c>
      <c r="D40" s="7" t="s">
        <v>17</v>
      </c>
      <c r="E40" s="7" t="s">
        <v>17</v>
      </c>
      <c r="F40" s="7" t="s">
        <v>17</v>
      </c>
      <c r="H40" s="6">
        <v>0.4</v>
      </c>
    </row>
    <row r="41" spans="2:10" ht="18">
      <c r="B41" s="1" t="s">
        <v>47</v>
      </c>
      <c r="C41" s="1" t="s">
        <v>4</v>
      </c>
      <c r="D41" s="7" t="s">
        <v>17</v>
      </c>
      <c r="E41" s="7" t="s">
        <v>17</v>
      </c>
      <c r="F41" s="7" t="s">
        <v>17</v>
      </c>
      <c r="H41" s="2">
        <f>0.85-H40</f>
        <v>0.44999999999999996</v>
      </c>
      <c r="J41" s="22" t="s">
        <v>81</v>
      </c>
    </row>
    <row r="42" spans="4:8" ht="6" customHeight="1">
      <c r="D42" s="7"/>
      <c r="E42" s="7"/>
      <c r="F42" s="7"/>
      <c r="H42" s="2"/>
    </row>
    <row r="43" spans="2:10" s="13" customFormat="1" ht="18">
      <c r="B43" s="13" t="s">
        <v>63</v>
      </c>
      <c r="D43" s="19"/>
      <c r="E43" s="19"/>
      <c r="F43" s="19"/>
      <c r="H43" s="20"/>
      <c r="J43" s="23"/>
    </row>
    <row r="44" spans="2:10" ht="18">
      <c r="B44" s="1" t="s">
        <v>48</v>
      </c>
      <c r="C44" s="1" t="s">
        <v>41</v>
      </c>
      <c r="D44" s="7" t="s">
        <v>17</v>
      </c>
      <c r="E44" s="7" t="s">
        <v>17</v>
      </c>
      <c r="F44" s="7" t="s">
        <v>17</v>
      </c>
      <c r="H44" s="3">
        <f>H35*H36*H39</f>
        <v>51.009102083333346</v>
      </c>
      <c r="J44" s="22" t="s">
        <v>84</v>
      </c>
    </row>
    <row r="45" spans="2:10" ht="18">
      <c r="B45" s="1" t="s">
        <v>49</v>
      </c>
      <c r="C45" s="1" t="s">
        <v>41</v>
      </c>
      <c r="D45" s="7" t="s">
        <v>17</v>
      </c>
      <c r="E45" s="7" t="s">
        <v>17</v>
      </c>
      <c r="F45" s="7" t="s">
        <v>17</v>
      </c>
      <c r="H45" s="3">
        <f>H35*H37*H41</f>
        <v>486.0867375</v>
      </c>
      <c r="J45" s="22" t="s">
        <v>85</v>
      </c>
    </row>
    <row r="46" spans="2:8" ht="18">
      <c r="B46" s="1" t="s">
        <v>50</v>
      </c>
      <c r="C46" s="1" t="s">
        <v>41</v>
      </c>
      <c r="D46" s="7" t="s">
        <v>17</v>
      </c>
      <c r="E46" s="7" t="s">
        <v>17</v>
      </c>
      <c r="F46" s="7" t="s">
        <v>17</v>
      </c>
      <c r="H46" s="3">
        <f>H44+H45</f>
        <v>537.0958395833334</v>
      </c>
    </row>
    <row r="47" spans="2:10" ht="20.25">
      <c r="B47" s="1" t="s">
        <v>50</v>
      </c>
      <c r="C47" s="1" t="s">
        <v>67</v>
      </c>
      <c r="D47" s="7" t="s">
        <v>17</v>
      </c>
      <c r="E47" s="7" t="s">
        <v>17</v>
      </c>
      <c r="F47" s="7" t="s">
        <v>17</v>
      </c>
      <c r="H47" s="3">
        <f>H46*24</f>
        <v>12890.300150000001</v>
      </c>
      <c r="J47" s="22" t="s">
        <v>82</v>
      </c>
    </row>
    <row r="48" spans="2:10" ht="18">
      <c r="B48" s="1" t="s">
        <v>51</v>
      </c>
      <c r="C48" s="1" t="s">
        <v>41</v>
      </c>
      <c r="D48" s="7" t="s">
        <v>17</v>
      </c>
      <c r="E48" s="7" t="s">
        <v>17</v>
      </c>
      <c r="F48" s="7" t="s">
        <v>17</v>
      </c>
      <c r="H48" s="3">
        <f>H35*H37*H40</f>
        <v>432.0771000000001</v>
      </c>
      <c r="J48" s="22" t="s">
        <v>83</v>
      </c>
    </row>
    <row r="49" spans="2:8" ht="20.25">
      <c r="B49" s="1" t="s">
        <v>51</v>
      </c>
      <c r="C49" s="1" t="s">
        <v>67</v>
      </c>
      <c r="D49" s="7" t="s">
        <v>17</v>
      </c>
      <c r="E49" s="7" t="s">
        <v>17</v>
      </c>
      <c r="F49" s="7" t="s">
        <v>17</v>
      </c>
      <c r="H49" s="3">
        <f>H48*24</f>
        <v>10369.850400000003</v>
      </c>
    </row>
    <row r="50" ht="6" customHeight="1"/>
    <row r="51" spans="2:10" s="13" customFormat="1" ht="18">
      <c r="B51" s="13" t="s">
        <v>64</v>
      </c>
      <c r="J51" s="23"/>
    </row>
    <row r="52" spans="2:8" ht="20.25">
      <c r="B52" s="1" t="s">
        <v>52</v>
      </c>
      <c r="C52" s="15" t="s">
        <v>53</v>
      </c>
      <c r="D52" s="17">
        <v>10</v>
      </c>
      <c r="E52" s="17">
        <v>25</v>
      </c>
      <c r="F52" s="17">
        <v>15</v>
      </c>
      <c r="H52" s="16">
        <f>((D52*D14)+(E52*E14)+(F52*F14))/H14</f>
        <v>16</v>
      </c>
    </row>
    <row r="53" spans="2:8" ht="20.25">
      <c r="B53" s="1" t="s">
        <v>54</v>
      </c>
      <c r="C53" s="15" t="s">
        <v>53</v>
      </c>
      <c r="D53" s="7" t="s">
        <v>17</v>
      </c>
      <c r="E53" s="7" t="s">
        <v>17</v>
      </c>
      <c r="F53" s="7" t="s">
        <v>17</v>
      </c>
      <c r="H53" s="17">
        <v>40</v>
      </c>
    </row>
    <row r="54" spans="2:10" ht="20.25">
      <c r="B54" s="1" t="s">
        <v>55</v>
      </c>
      <c r="C54" s="1" t="s">
        <v>40</v>
      </c>
      <c r="D54" s="3">
        <f>D14*($H53-D52)*4.19</f>
        <v>3771.0000000000005</v>
      </c>
      <c r="E54" s="3">
        <f>E14*($H53-E52)*4.19</f>
        <v>1257.0000000000002</v>
      </c>
      <c r="F54" s="3">
        <f>F14*($H53-F52)*4.19</f>
        <v>0</v>
      </c>
      <c r="H54" s="3">
        <f>SUM(D54:G54)</f>
        <v>5028.000000000001</v>
      </c>
      <c r="J54" s="22" t="s">
        <v>86</v>
      </c>
    </row>
    <row r="55" spans="2:10" ht="18">
      <c r="B55" s="1" t="s">
        <v>55</v>
      </c>
      <c r="C55" s="1" t="s">
        <v>41</v>
      </c>
      <c r="D55" s="3">
        <f>D54*1000/24/3600</f>
        <v>43.64583333333334</v>
      </c>
      <c r="E55" s="3">
        <f>E54*1000/24/3600</f>
        <v>14.548611111111112</v>
      </c>
      <c r="F55" s="3">
        <f>F54*1000/24/3600</f>
        <v>0</v>
      </c>
      <c r="H55" s="3">
        <f>SUM(D55:G55)</f>
        <v>58.19444444444446</v>
      </c>
      <c r="J55" s="22" t="s">
        <v>87</v>
      </c>
    </row>
    <row r="56" spans="2:10" ht="20.25">
      <c r="B56" s="1" t="s">
        <v>56</v>
      </c>
      <c r="C56" s="1" t="s">
        <v>57</v>
      </c>
      <c r="D56" s="7" t="s">
        <v>17</v>
      </c>
      <c r="E56" s="7" t="s">
        <v>17</v>
      </c>
      <c r="F56" s="7" t="s">
        <v>17</v>
      </c>
      <c r="H56" s="3">
        <f>POWER((H27/2/PI()),2/3)*6*PI()</f>
        <v>964.568558842817</v>
      </c>
      <c r="J56" s="22" t="s">
        <v>88</v>
      </c>
    </row>
    <row r="57" spans="2:10" ht="20.25">
      <c r="B57" s="1" t="s">
        <v>58</v>
      </c>
      <c r="C57" s="1" t="s">
        <v>59</v>
      </c>
      <c r="D57" s="7" t="s">
        <v>17</v>
      </c>
      <c r="E57" s="7" t="s">
        <v>17</v>
      </c>
      <c r="F57" s="7" t="s">
        <v>17</v>
      </c>
      <c r="H57" s="18">
        <v>0.35</v>
      </c>
      <c r="J57" s="22" t="s">
        <v>89</v>
      </c>
    </row>
    <row r="58" spans="2:8" ht="20.25">
      <c r="B58" s="1" t="s">
        <v>61</v>
      </c>
      <c r="C58" s="15" t="s">
        <v>53</v>
      </c>
      <c r="D58" s="7" t="s">
        <v>17</v>
      </c>
      <c r="E58" s="7" t="s">
        <v>17</v>
      </c>
      <c r="F58" s="7" t="s">
        <v>17</v>
      </c>
      <c r="H58" s="17">
        <v>5</v>
      </c>
    </row>
    <row r="59" spans="2:10" ht="18">
      <c r="B59" s="1" t="s">
        <v>60</v>
      </c>
      <c r="C59" s="1" t="s">
        <v>41</v>
      </c>
      <c r="D59" s="7" t="s">
        <v>17</v>
      </c>
      <c r="E59" s="7" t="s">
        <v>17</v>
      </c>
      <c r="F59" s="7" t="s">
        <v>17</v>
      </c>
      <c r="H59" s="3">
        <f>H56*(H53-H58)*H57/1000</f>
        <v>11.815964845824508</v>
      </c>
      <c r="J59" s="22" t="s">
        <v>90</v>
      </c>
    </row>
    <row r="60" spans="2:10" ht="20.25">
      <c r="B60" s="1" t="s">
        <v>60</v>
      </c>
      <c r="C60" s="1" t="s">
        <v>40</v>
      </c>
      <c r="D60" s="7" t="s">
        <v>17</v>
      </c>
      <c r="E60" s="7" t="s">
        <v>17</v>
      </c>
      <c r="F60" s="7" t="s">
        <v>17</v>
      </c>
      <c r="H60" s="3">
        <f>H59*3600*24/1000</f>
        <v>1020.8993626792375</v>
      </c>
      <c r="J60" s="22" t="s">
        <v>87</v>
      </c>
    </row>
    <row r="61" spans="2:10" ht="20.25">
      <c r="B61" s="1" t="s">
        <v>65</v>
      </c>
      <c r="C61" s="1" t="s">
        <v>40</v>
      </c>
      <c r="D61" s="7" t="s">
        <v>17</v>
      </c>
      <c r="E61" s="7" t="s">
        <v>17</v>
      </c>
      <c r="F61" s="7" t="s">
        <v>17</v>
      </c>
      <c r="H61" s="3">
        <f>H54+H60</f>
        <v>6048.899362679238</v>
      </c>
      <c r="J61" s="22" t="s">
        <v>91</v>
      </c>
    </row>
    <row r="62" spans="2:10" ht="18">
      <c r="B62" s="1" t="s">
        <v>65</v>
      </c>
      <c r="C62" s="1" t="s">
        <v>41</v>
      </c>
      <c r="D62" s="7" t="s">
        <v>17</v>
      </c>
      <c r="E62" s="7" t="s">
        <v>17</v>
      </c>
      <c r="F62" s="7" t="s">
        <v>17</v>
      </c>
      <c r="H62" s="3">
        <f>H61*1000/24/3600</f>
        <v>70.01040929026897</v>
      </c>
      <c r="J62" s="22" t="s">
        <v>87</v>
      </c>
    </row>
    <row r="63" spans="2:8" ht="18">
      <c r="B63" s="1" t="s">
        <v>62</v>
      </c>
      <c r="C63" s="1" t="s">
        <v>4</v>
      </c>
      <c r="D63" s="7" t="s">
        <v>17</v>
      </c>
      <c r="E63" s="7" t="s">
        <v>17</v>
      </c>
      <c r="F63" s="7" t="s">
        <v>17</v>
      </c>
      <c r="H63" s="2">
        <f>H62/H46</f>
        <v>0.1303499378147882</v>
      </c>
    </row>
    <row r="64" ht="6" customHeight="1"/>
    <row r="65" spans="2:10" s="13" customFormat="1" ht="18">
      <c r="B65" s="13" t="s">
        <v>69</v>
      </c>
      <c r="J65" s="23"/>
    </row>
    <row r="66" spans="2:8" ht="18">
      <c r="B66" s="1" t="s">
        <v>51</v>
      </c>
      <c r="C66" s="1" t="s">
        <v>41</v>
      </c>
      <c r="D66" s="7" t="s">
        <v>17</v>
      </c>
      <c r="E66" s="7" t="s">
        <v>17</v>
      </c>
      <c r="F66" s="7" t="s">
        <v>17</v>
      </c>
      <c r="H66" s="3">
        <f>H48</f>
        <v>432.0771000000001</v>
      </c>
    </row>
    <row r="67" spans="2:8" ht="20.25">
      <c r="B67" s="1" t="s">
        <v>66</v>
      </c>
      <c r="C67" s="1" t="s">
        <v>67</v>
      </c>
      <c r="D67" s="7" t="s">
        <v>17</v>
      </c>
      <c r="E67" s="7" t="s">
        <v>17</v>
      </c>
      <c r="F67" s="7" t="s">
        <v>17</v>
      </c>
      <c r="H67" s="8">
        <v>600</v>
      </c>
    </row>
    <row r="68" spans="2:10" ht="18">
      <c r="B68" s="1" t="s">
        <v>66</v>
      </c>
      <c r="C68" s="1" t="s">
        <v>41</v>
      </c>
      <c r="D68" s="7" t="s">
        <v>17</v>
      </c>
      <c r="E68" s="7" t="s">
        <v>17</v>
      </c>
      <c r="F68" s="7" t="s">
        <v>17</v>
      </c>
      <c r="H68" s="3">
        <f>H67/24</f>
        <v>25</v>
      </c>
      <c r="J68" s="22" t="s">
        <v>92</v>
      </c>
    </row>
    <row r="69" spans="2:8" ht="18">
      <c r="B69" s="1" t="s">
        <v>68</v>
      </c>
      <c r="C69" s="1" t="s">
        <v>4</v>
      </c>
      <c r="D69" s="7" t="s">
        <v>17</v>
      </c>
      <c r="E69" s="7" t="s">
        <v>17</v>
      </c>
      <c r="F69" s="7" t="s">
        <v>17</v>
      </c>
      <c r="H69" s="2">
        <f>H68/H66</f>
        <v>0.05786004395974699</v>
      </c>
    </row>
    <row r="70" ht="6" customHeight="1"/>
    <row r="71" spans="2:8" ht="18">
      <c r="B71" s="1" t="s">
        <v>93</v>
      </c>
      <c r="C71" s="1" t="s">
        <v>41</v>
      </c>
      <c r="D71" s="7" t="s">
        <v>17</v>
      </c>
      <c r="E71" s="7" t="s">
        <v>17</v>
      </c>
      <c r="F71" s="7" t="s">
        <v>17</v>
      </c>
      <c r="H71" s="3">
        <f>H46</f>
        <v>537.0958395833334</v>
      </c>
    </row>
    <row r="72" spans="2:8" ht="20.25">
      <c r="B72" s="1" t="s">
        <v>65</v>
      </c>
      <c r="C72" s="1" t="s">
        <v>40</v>
      </c>
      <c r="D72" s="7" t="s">
        <v>17</v>
      </c>
      <c r="E72" s="7" t="s">
        <v>17</v>
      </c>
      <c r="F72" s="7" t="s">
        <v>17</v>
      </c>
      <c r="H72" s="3">
        <f>H61</f>
        <v>6048.899362679238</v>
      </c>
    </row>
    <row r="73" spans="2:10" ht="18">
      <c r="B73" s="1" t="s">
        <v>65</v>
      </c>
      <c r="C73" s="1" t="s">
        <v>41</v>
      </c>
      <c r="D73" s="7" t="s">
        <v>17</v>
      </c>
      <c r="E73" s="7" t="s">
        <v>17</v>
      </c>
      <c r="F73" s="7" t="s">
        <v>17</v>
      </c>
      <c r="H73" s="3">
        <f>H72*1000/24/3600</f>
        <v>70.01040929026897</v>
      </c>
      <c r="J73" s="22" t="s">
        <v>87</v>
      </c>
    </row>
    <row r="74" spans="2:8" ht="18">
      <c r="B74" s="1" t="s">
        <v>62</v>
      </c>
      <c r="C74" s="1" t="s">
        <v>4</v>
      </c>
      <c r="D74" s="7" t="s">
        <v>17</v>
      </c>
      <c r="E74" s="7" t="s">
        <v>17</v>
      </c>
      <c r="F74" s="7" t="s">
        <v>17</v>
      </c>
      <c r="H74" s="2">
        <f>H73/H71</f>
        <v>0.1303499378147882</v>
      </c>
    </row>
    <row r="75" ht="6" customHeight="1"/>
    <row r="76" spans="2:10" s="13" customFormat="1" ht="18">
      <c r="B76" s="13" t="s">
        <v>94</v>
      </c>
      <c r="J76" s="23"/>
    </row>
    <row r="77" spans="2:8" ht="20.25">
      <c r="B77" s="1" t="s">
        <v>25</v>
      </c>
      <c r="C77" s="1" t="s">
        <v>19</v>
      </c>
      <c r="D77" s="3">
        <f>D16</f>
        <v>10950</v>
      </c>
      <c r="E77" s="3">
        <f>E16</f>
        <v>7300</v>
      </c>
      <c r="F77" s="3">
        <f>F16</f>
        <v>0</v>
      </c>
      <c r="H77" s="3">
        <f aca="true" t="shared" si="0" ref="H77:H84">SUM(D77:G77)</f>
        <v>18250</v>
      </c>
    </row>
    <row r="78" spans="2:8" ht="21">
      <c r="B78" s="1" t="s">
        <v>96</v>
      </c>
      <c r="C78" s="1" t="s">
        <v>95</v>
      </c>
      <c r="D78" s="3">
        <f>D20*365</f>
        <v>144802.80000000002</v>
      </c>
      <c r="E78" s="3">
        <f>E20*365</f>
        <v>915420</v>
      </c>
      <c r="F78" s="3">
        <f>F20*365</f>
        <v>0</v>
      </c>
      <c r="H78" s="3">
        <f t="shared" si="0"/>
        <v>1060222.8</v>
      </c>
    </row>
    <row r="79" spans="2:10" ht="21">
      <c r="B79" s="1" t="s">
        <v>97</v>
      </c>
      <c r="C79" s="1" t="s">
        <v>95</v>
      </c>
      <c r="D79" s="3">
        <f>D21*365-D78</f>
        <v>104857.20000000001</v>
      </c>
      <c r="E79" s="3">
        <f>E21*365-E78</f>
        <v>748980</v>
      </c>
      <c r="F79" s="3">
        <f>F21*365-F78</f>
        <v>0</v>
      </c>
      <c r="H79" s="3">
        <f t="shared" si="0"/>
        <v>853837.2</v>
      </c>
      <c r="J79" s="22" t="s">
        <v>104</v>
      </c>
    </row>
    <row r="80" spans="2:10" ht="21">
      <c r="B80" s="1" t="s">
        <v>98</v>
      </c>
      <c r="C80" s="1" t="s">
        <v>19</v>
      </c>
      <c r="D80" s="3">
        <f>D78*0.71/1000</f>
        <v>102.80998800000002</v>
      </c>
      <c r="E80" s="3">
        <f>E78*0.71/1000</f>
        <v>649.9481999999999</v>
      </c>
      <c r="F80" s="3">
        <f>F78*0.71/1000</f>
        <v>0</v>
      </c>
      <c r="H80" s="3">
        <f t="shared" si="0"/>
        <v>752.7581879999999</v>
      </c>
      <c r="J80" s="22" t="s">
        <v>106</v>
      </c>
    </row>
    <row r="81" spans="2:10" ht="21">
      <c r="B81" s="1" t="s">
        <v>99</v>
      </c>
      <c r="C81" s="1" t="s">
        <v>19</v>
      </c>
      <c r="D81" s="3">
        <f>D79*1.96/1000</f>
        <v>205.520112</v>
      </c>
      <c r="E81" s="3">
        <f>E79*1.96/1000</f>
        <v>1468.0008</v>
      </c>
      <c r="F81" s="3">
        <f>F79*1.96/1000</f>
        <v>0</v>
      </c>
      <c r="H81" s="3">
        <f t="shared" si="0"/>
        <v>1673.520912</v>
      </c>
      <c r="J81" s="22" t="s">
        <v>105</v>
      </c>
    </row>
    <row r="82" spans="2:8" ht="20.25">
      <c r="B82" s="1" t="s">
        <v>100</v>
      </c>
      <c r="C82" s="1" t="s">
        <v>19</v>
      </c>
      <c r="D82" s="3">
        <f>D80+D81</f>
        <v>308.3301</v>
      </c>
      <c r="E82" s="3">
        <f>E80+E81</f>
        <v>2117.949</v>
      </c>
      <c r="F82" s="3">
        <f>F80+F81</f>
        <v>0</v>
      </c>
      <c r="H82" s="3">
        <f t="shared" si="0"/>
        <v>2426.2791</v>
      </c>
    </row>
    <row r="83" spans="2:10" ht="20.25">
      <c r="B83" s="1" t="s">
        <v>101</v>
      </c>
      <c r="C83" s="1" t="s">
        <v>19</v>
      </c>
      <c r="D83" s="3">
        <f>D77-D82</f>
        <v>10641.6699</v>
      </c>
      <c r="E83" s="3">
        <f>E77-E82</f>
        <v>5182.0509999999995</v>
      </c>
      <c r="F83" s="3">
        <f>F77-F82</f>
        <v>0</v>
      </c>
      <c r="H83" s="3">
        <f t="shared" si="0"/>
        <v>15823.7209</v>
      </c>
      <c r="J83" s="22" t="s">
        <v>107</v>
      </c>
    </row>
    <row r="84" spans="2:8" ht="20.25">
      <c r="B84" s="1" t="s">
        <v>103</v>
      </c>
      <c r="C84" s="1" t="s">
        <v>19</v>
      </c>
      <c r="D84" s="3">
        <f>D77-D83</f>
        <v>308.3300999999992</v>
      </c>
      <c r="E84" s="3">
        <f>E77-E83</f>
        <v>2117.9490000000005</v>
      </c>
      <c r="F84" s="3">
        <f>F77-F83</f>
        <v>0</v>
      </c>
      <c r="H84" s="3">
        <f t="shared" si="0"/>
        <v>2426.2790999999997</v>
      </c>
    </row>
    <row r="85" spans="2:8" ht="18">
      <c r="B85" s="1" t="s">
        <v>102</v>
      </c>
      <c r="C85" s="1" t="s">
        <v>4</v>
      </c>
      <c r="D85" s="2">
        <f>D84/D77</f>
        <v>0.02815799999999993</v>
      </c>
      <c r="E85" s="2">
        <f>E84/E77</f>
        <v>0.29013000000000005</v>
      </c>
      <c r="F85" s="2" t="e">
        <f>F84/F77</f>
        <v>#DIV/0!</v>
      </c>
      <c r="H85" s="2">
        <f>H84/H77</f>
        <v>0.13294679999999998</v>
      </c>
    </row>
    <row r="86" ht="6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.7109375" style="1" customWidth="1"/>
    <col min="2" max="2" width="34.7109375" style="1" customWidth="1"/>
    <col min="3" max="3" width="18.7109375" style="1" customWidth="1"/>
    <col min="4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29.421875" style="22" customWidth="1"/>
    <col min="11" max="16384" width="9.140625" style="1" customWidth="1"/>
  </cols>
  <sheetData>
    <row r="1" ht="6" customHeight="1"/>
    <row r="2" spans="2:10" s="13" customFormat="1" ht="18">
      <c r="B2" s="13" t="s">
        <v>0</v>
      </c>
      <c r="J2" s="23"/>
    </row>
    <row r="3" spans="2:10" s="13" customFormat="1" ht="18">
      <c r="B3" s="13" t="s">
        <v>108</v>
      </c>
      <c r="J3" s="23"/>
    </row>
    <row r="4" s="13" customFormat="1" ht="6" customHeight="1">
      <c r="J4" s="23"/>
    </row>
    <row r="5" spans="2:10" s="13" customFormat="1" ht="36">
      <c r="B5" s="13" t="s">
        <v>1</v>
      </c>
      <c r="D5" s="14" t="s">
        <v>10</v>
      </c>
      <c r="E5" s="14" t="s">
        <v>11</v>
      </c>
      <c r="F5" s="14" t="s">
        <v>12</v>
      </c>
      <c r="G5" s="14"/>
      <c r="H5" s="14" t="s">
        <v>13</v>
      </c>
      <c r="J5" s="23" t="s">
        <v>70</v>
      </c>
    </row>
    <row r="6" ht="6" customHeight="1"/>
    <row r="7" spans="2:8" ht="19.5" customHeight="1">
      <c r="B7" s="1" t="s">
        <v>8</v>
      </c>
      <c r="C7" s="1" t="s">
        <v>4</v>
      </c>
      <c r="D7" s="4">
        <v>0.08</v>
      </c>
      <c r="E7" s="4">
        <v>0.33</v>
      </c>
      <c r="F7" s="4">
        <v>0.25</v>
      </c>
      <c r="H7" s="2">
        <f>H18/H14</f>
        <v>0.19166666666666668</v>
      </c>
    </row>
    <row r="8" spans="2:8" ht="19.5" customHeight="1">
      <c r="B8" s="1" t="s">
        <v>9</v>
      </c>
      <c r="C8" s="1" t="s">
        <v>4</v>
      </c>
      <c r="D8" s="4">
        <v>0.87</v>
      </c>
      <c r="E8" s="4">
        <v>0.95</v>
      </c>
      <c r="F8" s="4">
        <v>0.9</v>
      </c>
      <c r="H8" s="2">
        <f>H19/H18</f>
        <v>0.9224347826086957</v>
      </c>
    </row>
    <row r="9" spans="2:8" ht="19.5" customHeight="1">
      <c r="B9" s="1" t="s">
        <v>7</v>
      </c>
      <c r="C9" s="1" t="s">
        <v>4</v>
      </c>
      <c r="D9" s="4">
        <v>0.58</v>
      </c>
      <c r="E9" s="4">
        <v>0.55</v>
      </c>
      <c r="F9" s="4">
        <v>0.6</v>
      </c>
      <c r="H9" s="2">
        <f>H20/H21</f>
        <v>0.5645578530576332</v>
      </c>
    </row>
    <row r="10" spans="2:8" ht="19.5" customHeight="1">
      <c r="B10" s="1" t="s">
        <v>5</v>
      </c>
      <c r="C10" s="1" t="s">
        <v>6</v>
      </c>
      <c r="D10" s="5">
        <v>190</v>
      </c>
      <c r="E10" s="5">
        <v>400</v>
      </c>
      <c r="F10" s="5">
        <v>420</v>
      </c>
      <c r="H10" s="3">
        <f>H20/H19</f>
        <v>362.90723981900453</v>
      </c>
    </row>
    <row r="11" spans="2:8" ht="19.5" customHeight="1">
      <c r="B11" s="1" t="s">
        <v>30</v>
      </c>
      <c r="C11" s="1" t="s">
        <v>31</v>
      </c>
      <c r="D11" s="12">
        <v>1.03</v>
      </c>
      <c r="E11" s="12">
        <v>1.05</v>
      </c>
      <c r="F11" s="12">
        <v>1.05</v>
      </c>
      <c r="H11" s="21">
        <f>H14/H15</f>
        <v>1.0399038461538461</v>
      </c>
    </row>
    <row r="12" spans="2:8" ht="19.5" customHeight="1">
      <c r="B12" s="1" t="s">
        <v>16</v>
      </c>
      <c r="C12" s="1" t="s">
        <v>29</v>
      </c>
      <c r="D12" s="5">
        <v>60</v>
      </c>
      <c r="E12" s="7" t="s">
        <v>17</v>
      </c>
      <c r="F12" s="7" t="s">
        <v>17</v>
      </c>
      <c r="H12" s="7" t="s">
        <v>17</v>
      </c>
    </row>
    <row r="13" spans="2:8" ht="19.5" customHeight="1">
      <c r="B13" s="1" t="s">
        <v>14</v>
      </c>
      <c r="C13" s="1" t="s">
        <v>15</v>
      </c>
      <c r="D13" s="8">
        <v>500</v>
      </c>
      <c r="E13" s="7" t="s">
        <v>17</v>
      </c>
      <c r="F13" s="7" t="s">
        <v>17</v>
      </c>
      <c r="H13" s="7" t="s">
        <v>17</v>
      </c>
    </row>
    <row r="14" spans="2:8" ht="19.5" customHeight="1">
      <c r="B14" s="1" t="s">
        <v>2</v>
      </c>
      <c r="C14" s="1" t="s">
        <v>3</v>
      </c>
      <c r="D14" s="9">
        <f>D13*D12/1000</f>
        <v>30</v>
      </c>
      <c r="E14" s="10">
        <v>20</v>
      </c>
      <c r="F14" s="10">
        <v>10</v>
      </c>
      <c r="G14" s="9"/>
      <c r="H14" s="9">
        <f>SUM(D14:G14)</f>
        <v>60</v>
      </c>
    </row>
    <row r="15" spans="2:10" ht="19.5" customHeight="1">
      <c r="B15" s="1" t="s">
        <v>32</v>
      </c>
      <c r="C15" s="1" t="s">
        <v>23</v>
      </c>
      <c r="D15" s="9">
        <f>D14/D11</f>
        <v>29.126213592233007</v>
      </c>
      <c r="E15" s="9">
        <f>E14/E11</f>
        <v>19.047619047619047</v>
      </c>
      <c r="F15" s="9">
        <f>F14/F11</f>
        <v>9.523809523809524</v>
      </c>
      <c r="G15" s="9"/>
      <c r="H15" s="9">
        <f>SUM(D15:G15)</f>
        <v>57.69764216366158</v>
      </c>
      <c r="J15" s="22" t="s">
        <v>71</v>
      </c>
    </row>
    <row r="16" spans="2:8" ht="20.25">
      <c r="B16" s="1" t="s">
        <v>2</v>
      </c>
      <c r="C16" s="1" t="s">
        <v>19</v>
      </c>
      <c r="D16" s="3">
        <f>D14*365</f>
        <v>10950</v>
      </c>
      <c r="E16" s="3">
        <f>E14*365</f>
        <v>7300</v>
      </c>
      <c r="F16" s="3">
        <f>F14*365</f>
        <v>3650</v>
      </c>
      <c r="H16" s="3">
        <f>SUM(D16:G16)</f>
        <v>21900</v>
      </c>
    </row>
    <row r="17" ht="6" customHeight="1"/>
    <row r="18" spans="2:10" ht="20.25">
      <c r="B18" s="1" t="s">
        <v>20</v>
      </c>
      <c r="C18" s="1" t="s">
        <v>3</v>
      </c>
      <c r="D18" s="9">
        <f>D14*D7</f>
        <v>2.4</v>
      </c>
      <c r="E18" s="9">
        <f>E14*E7</f>
        <v>6.6000000000000005</v>
      </c>
      <c r="F18" s="9">
        <f>F14*F7</f>
        <v>2.5</v>
      </c>
      <c r="G18" s="9"/>
      <c r="H18" s="9">
        <f>SUM(D18:G18)</f>
        <v>11.5</v>
      </c>
      <c r="J18" s="22" t="s">
        <v>72</v>
      </c>
    </row>
    <row r="19" spans="2:10" ht="20.25">
      <c r="B19" s="1" t="s">
        <v>21</v>
      </c>
      <c r="C19" s="1" t="s">
        <v>3</v>
      </c>
      <c r="D19" s="9">
        <f>D18*D8</f>
        <v>2.088</v>
      </c>
      <c r="E19" s="9">
        <f>E18*E8</f>
        <v>6.2700000000000005</v>
      </c>
      <c r="F19" s="9">
        <f>F18*F8</f>
        <v>2.25</v>
      </c>
      <c r="H19" s="9">
        <f>SUM(D19:G19)</f>
        <v>10.608</v>
      </c>
      <c r="J19" s="22" t="s">
        <v>73</v>
      </c>
    </row>
    <row r="20" spans="2:10" ht="20.25">
      <c r="B20" s="1" t="s">
        <v>22</v>
      </c>
      <c r="C20" s="1" t="s">
        <v>23</v>
      </c>
      <c r="D20" s="3">
        <f>D19*D10</f>
        <v>396.72</v>
      </c>
      <c r="E20" s="3">
        <f>E19*E10</f>
        <v>2508</v>
      </c>
      <c r="F20" s="3">
        <f>F19*F10</f>
        <v>945</v>
      </c>
      <c r="H20" s="3">
        <f>SUM(D20:G20)</f>
        <v>3849.7200000000003</v>
      </c>
      <c r="J20" s="22" t="s">
        <v>74</v>
      </c>
    </row>
    <row r="21" spans="2:10" ht="20.25">
      <c r="B21" s="1" t="s">
        <v>24</v>
      </c>
      <c r="C21" s="1" t="s">
        <v>23</v>
      </c>
      <c r="D21" s="3">
        <f>D20/D9</f>
        <v>684.0000000000001</v>
      </c>
      <c r="E21" s="3">
        <f>E20/E9</f>
        <v>4560</v>
      </c>
      <c r="F21" s="3">
        <f>F20/F9</f>
        <v>1575</v>
      </c>
      <c r="H21" s="3">
        <f>SUM(D21:G21)</f>
        <v>6819</v>
      </c>
      <c r="J21" s="22" t="s">
        <v>75</v>
      </c>
    </row>
    <row r="22" ht="6" customHeight="1"/>
    <row r="23" spans="2:10" s="13" customFormat="1" ht="18">
      <c r="B23" s="13" t="s">
        <v>37</v>
      </c>
      <c r="J23" s="23"/>
    </row>
    <row r="24" spans="2:8" ht="20.25">
      <c r="B24" s="1" t="s">
        <v>25</v>
      </c>
      <c r="C24" s="1" t="s">
        <v>3</v>
      </c>
      <c r="D24" s="7" t="s">
        <v>17</v>
      </c>
      <c r="E24" s="7" t="s">
        <v>17</v>
      </c>
      <c r="F24" s="7" t="s">
        <v>17</v>
      </c>
      <c r="H24" s="11">
        <f>H14</f>
        <v>60</v>
      </c>
    </row>
    <row r="25" spans="2:8" ht="20.25">
      <c r="B25" s="1" t="s">
        <v>33</v>
      </c>
      <c r="C25" s="1" t="s">
        <v>23</v>
      </c>
      <c r="D25" s="7" t="s">
        <v>17</v>
      </c>
      <c r="E25" s="7" t="s">
        <v>17</v>
      </c>
      <c r="F25" s="7" t="s">
        <v>17</v>
      </c>
      <c r="H25" s="11">
        <f>H15</f>
        <v>57.69764216366158</v>
      </c>
    </row>
    <row r="26" spans="2:8" ht="20.25">
      <c r="B26" s="1" t="s">
        <v>21</v>
      </c>
      <c r="C26" s="1" t="s">
        <v>3</v>
      </c>
      <c r="D26" s="7" t="s">
        <v>17</v>
      </c>
      <c r="E26" s="7" t="s">
        <v>17</v>
      </c>
      <c r="F26" s="7" t="s">
        <v>17</v>
      </c>
      <c r="H26" s="9">
        <f>H19</f>
        <v>10.608</v>
      </c>
    </row>
    <row r="27" spans="2:8" ht="20.25">
      <c r="B27" s="1" t="s">
        <v>26</v>
      </c>
      <c r="C27" s="1" t="s">
        <v>27</v>
      </c>
      <c r="D27" s="7" t="s">
        <v>17</v>
      </c>
      <c r="E27" s="7" t="s">
        <v>17</v>
      </c>
      <c r="F27" s="7" t="s">
        <v>17</v>
      </c>
      <c r="H27" s="8">
        <v>3000</v>
      </c>
    </row>
    <row r="28" spans="2:10" ht="18">
      <c r="B28" s="1" t="s">
        <v>34</v>
      </c>
      <c r="C28" s="1" t="s">
        <v>28</v>
      </c>
      <c r="D28" s="7" t="s">
        <v>17</v>
      </c>
      <c r="E28" s="7" t="s">
        <v>17</v>
      </c>
      <c r="F28" s="7" t="s">
        <v>17</v>
      </c>
      <c r="H28" s="9">
        <f>H27/H24</f>
        <v>50</v>
      </c>
      <c r="J28" s="22" t="s">
        <v>76</v>
      </c>
    </row>
    <row r="29" spans="2:10" ht="21">
      <c r="B29" s="1" t="s">
        <v>35</v>
      </c>
      <c r="C29" s="1" t="s">
        <v>36</v>
      </c>
      <c r="D29" s="7" t="s">
        <v>17</v>
      </c>
      <c r="E29" s="7" t="s">
        <v>17</v>
      </c>
      <c r="F29" s="7" t="s">
        <v>17</v>
      </c>
      <c r="H29" s="9">
        <f>H26*1000/H27</f>
        <v>3.536</v>
      </c>
      <c r="J29" s="22" t="s">
        <v>77</v>
      </c>
    </row>
    <row r="30" ht="6" customHeight="1"/>
    <row r="31" spans="2:10" s="13" customFormat="1" ht="18">
      <c r="B31" s="13" t="s">
        <v>38</v>
      </c>
      <c r="J31" s="23"/>
    </row>
    <row r="32" spans="2:8" ht="20.25">
      <c r="B32" s="1" t="s">
        <v>22</v>
      </c>
      <c r="C32" s="1" t="s">
        <v>23</v>
      </c>
      <c r="D32" s="3">
        <f>D20</f>
        <v>396.72</v>
      </c>
      <c r="E32" s="3">
        <f>E20</f>
        <v>2508</v>
      </c>
      <c r="F32" s="3">
        <f>F20</f>
        <v>945</v>
      </c>
      <c r="H32" s="3">
        <f>H20</f>
        <v>3849.7200000000003</v>
      </c>
    </row>
    <row r="33" spans="2:10" ht="20.25">
      <c r="B33" s="1" t="s">
        <v>39</v>
      </c>
      <c r="C33" s="1" t="s">
        <v>40</v>
      </c>
      <c r="D33" s="3">
        <f>D32*35.7</f>
        <v>14162.904000000002</v>
      </c>
      <c r="E33" s="3">
        <f>E32*35.7</f>
        <v>89535.6</v>
      </c>
      <c r="F33" s="3">
        <f>F32*35.7</f>
        <v>33736.5</v>
      </c>
      <c r="H33" s="3">
        <f>H32*35.7</f>
        <v>137435.00400000002</v>
      </c>
      <c r="J33" s="22" t="s">
        <v>78</v>
      </c>
    </row>
    <row r="34" spans="2:10" ht="20.25">
      <c r="B34" s="1" t="s">
        <v>39</v>
      </c>
      <c r="C34" s="1" t="s">
        <v>67</v>
      </c>
      <c r="D34" s="3">
        <f>D33*1000/3600</f>
        <v>3934.1400000000003</v>
      </c>
      <c r="E34" s="3">
        <f>E33*1000/3600</f>
        <v>24871</v>
      </c>
      <c r="F34" s="3">
        <f>F33*1000/3600</f>
        <v>9371.25</v>
      </c>
      <c r="H34" s="3">
        <f>H33*1000/3600</f>
        <v>38176.39000000001</v>
      </c>
      <c r="J34" s="22" t="s">
        <v>79</v>
      </c>
    </row>
    <row r="35" spans="2:10" ht="18">
      <c r="B35" s="1" t="s">
        <v>39</v>
      </c>
      <c r="C35" s="1" t="s">
        <v>41</v>
      </c>
      <c r="D35" s="3">
        <f>D34/24</f>
        <v>163.9225</v>
      </c>
      <c r="E35" s="3">
        <f>E34/24</f>
        <v>1036.2916666666667</v>
      </c>
      <c r="F35" s="3">
        <f>F34/24</f>
        <v>390.46875</v>
      </c>
      <c r="H35" s="3">
        <f>H34/24</f>
        <v>1590.6829166666669</v>
      </c>
      <c r="J35" s="22" t="s">
        <v>80</v>
      </c>
    </row>
    <row r="36" spans="2:8" ht="18">
      <c r="B36" s="1" t="s">
        <v>42</v>
      </c>
      <c r="C36" s="1" t="s">
        <v>4</v>
      </c>
      <c r="D36" s="7" t="s">
        <v>17</v>
      </c>
      <c r="E36" s="7" t="s">
        <v>17</v>
      </c>
      <c r="F36" s="7" t="s">
        <v>17</v>
      </c>
      <c r="H36" s="6">
        <v>0.05</v>
      </c>
    </row>
    <row r="37" spans="2:8" ht="18">
      <c r="B37" s="1" t="s">
        <v>43</v>
      </c>
      <c r="C37" s="1" t="s">
        <v>4</v>
      </c>
      <c r="D37" s="7" t="s">
        <v>17</v>
      </c>
      <c r="E37" s="7" t="s">
        <v>17</v>
      </c>
      <c r="F37" s="7" t="s">
        <v>17</v>
      </c>
      <c r="H37" s="6">
        <v>0.9</v>
      </c>
    </row>
    <row r="38" spans="2:8" ht="18">
      <c r="B38" s="1" t="s">
        <v>44</v>
      </c>
      <c r="C38" s="1" t="s">
        <v>4</v>
      </c>
      <c r="D38" s="7" t="s">
        <v>17</v>
      </c>
      <c r="E38" s="7" t="s">
        <v>17</v>
      </c>
      <c r="F38" s="7" t="s">
        <v>17</v>
      </c>
      <c r="H38" s="2">
        <f>1-H36-H37</f>
        <v>0.04999999999999993</v>
      </c>
    </row>
    <row r="39" spans="2:8" ht="18">
      <c r="B39" s="1" t="s">
        <v>45</v>
      </c>
      <c r="C39" s="1" t="s">
        <v>4</v>
      </c>
      <c r="D39" s="7" t="s">
        <v>17</v>
      </c>
      <c r="E39" s="7" t="s">
        <v>17</v>
      </c>
      <c r="F39" s="7" t="s">
        <v>17</v>
      </c>
      <c r="H39" s="6">
        <v>0.85</v>
      </c>
    </row>
    <row r="40" spans="2:8" ht="18">
      <c r="B40" s="1" t="s">
        <v>46</v>
      </c>
      <c r="C40" s="1" t="s">
        <v>4</v>
      </c>
      <c r="D40" s="7" t="s">
        <v>17</v>
      </c>
      <c r="E40" s="7" t="s">
        <v>17</v>
      </c>
      <c r="F40" s="7" t="s">
        <v>17</v>
      </c>
      <c r="H40" s="6">
        <v>0.4</v>
      </c>
    </row>
    <row r="41" spans="2:10" ht="18">
      <c r="B41" s="1" t="s">
        <v>47</v>
      </c>
      <c r="C41" s="1" t="s">
        <v>4</v>
      </c>
      <c r="D41" s="7" t="s">
        <v>17</v>
      </c>
      <c r="E41" s="7" t="s">
        <v>17</v>
      </c>
      <c r="F41" s="7" t="s">
        <v>17</v>
      </c>
      <c r="H41" s="2">
        <f>0.85-H40</f>
        <v>0.44999999999999996</v>
      </c>
      <c r="J41" s="22" t="s">
        <v>81</v>
      </c>
    </row>
    <row r="42" spans="4:8" ht="6" customHeight="1">
      <c r="D42" s="7"/>
      <c r="E42" s="7"/>
      <c r="F42" s="7"/>
      <c r="H42" s="2"/>
    </row>
    <row r="43" spans="2:10" s="13" customFormat="1" ht="18">
      <c r="B43" s="13" t="s">
        <v>63</v>
      </c>
      <c r="D43" s="19"/>
      <c r="E43" s="19"/>
      <c r="F43" s="19"/>
      <c r="H43" s="20"/>
      <c r="J43" s="23"/>
    </row>
    <row r="44" spans="2:10" ht="18">
      <c r="B44" s="1" t="s">
        <v>48</v>
      </c>
      <c r="C44" s="1" t="s">
        <v>41</v>
      </c>
      <c r="D44" s="7" t="s">
        <v>17</v>
      </c>
      <c r="E44" s="7" t="s">
        <v>17</v>
      </c>
      <c r="F44" s="7" t="s">
        <v>17</v>
      </c>
      <c r="H44" s="3">
        <f>H35*H36*H39</f>
        <v>67.60402395833334</v>
      </c>
      <c r="J44" s="22" t="s">
        <v>84</v>
      </c>
    </row>
    <row r="45" spans="2:10" ht="18">
      <c r="B45" s="1" t="s">
        <v>49</v>
      </c>
      <c r="C45" s="1" t="s">
        <v>41</v>
      </c>
      <c r="D45" s="7" t="s">
        <v>17</v>
      </c>
      <c r="E45" s="7" t="s">
        <v>17</v>
      </c>
      <c r="F45" s="7" t="s">
        <v>17</v>
      </c>
      <c r="H45" s="3">
        <f>H35*H37*H41</f>
        <v>644.22658125</v>
      </c>
      <c r="J45" s="22" t="s">
        <v>85</v>
      </c>
    </row>
    <row r="46" spans="2:8" ht="18">
      <c r="B46" s="1" t="s">
        <v>50</v>
      </c>
      <c r="C46" s="1" t="s">
        <v>41</v>
      </c>
      <c r="D46" s="7" t="s">
        <v>17</v>
      </c>
      <c r="E46" s="7" t="s">
        <v>17</v>
      </c>
      <c r="F46" s="7" t="s">
        <v>17</v>
      </c>
      <c r="H46" s="3">
        <f>H44+H45</f>
        <v>711.8306052083333</v>
      </c>
    </row>
    <row r="47" spans="2:10" ht="20.25">
      <c r="B47" s="1" t="s">
        <v>50</v>
      </c>
      <c r="C47" s="1" t="s">
        <v>67</v>
      </c>
      <c r="D47" s="7" t="s">
        <v>17</v>
      </c>
      <c r="E47" s="7" t="s">
        <v>17</v>
      </c>
      <c r="F47" s="7" t="s">
        <v>17</v>
      </c>
      <c r="H47" s="3">
        <f>H46*24</f>
        <v>17083.934524999997</v>
      </c>
      <c r="J47" s="22" t="s">
        <v>82</v>
      </c>
    </row>
    <row r="48" spans="2:10" ht="18">
      <c r="B48" s="1" t="s">
        <v>51</v>
      </c>
      <c r="C48" s="1" t="s">
        <v>41</v>
      </c>
      <c r="D48" s="7" t="s">
        <v>17</v>
      </c>
      <c r="E48" s="7" t="s">
        <v>17</v>
      </c>
      <c r="F48" s="7" t="s">
        <v>17</v>
      </c>
      <c r="H48" s="3">
        <f>H35*H37*H40</f>
        <v>572.6458500000001</v>
      </c>
      <c r="J48" s="22" t="s">
        <v>83</v>
      </c>
    </row>
    <row r="49" spans="2:8" ht="20.25">
      <c r="B49" s="1" t="s">
        <v>51</v>
      </c>
      <c r="C49" s="1" t="s">
        <v>67</v>
      </c>
      <c r="D49" s="7" t="s">
        <v>17</v>
      </c>
      <c r="E49" s="7" t="s">
        <v>17</v>
      </c>
      <c r="F49" s="7" t="s">
        <v>17</v>
      </c>
      <c r="H49" s="3">
        <f>H48*24</f>
        <v>13743.500400000003</v>
      </c>
    </row>
    <row r="50" ht="6" customHeight="1"/>
    <row r="51" spans="2:10" s="13" customFormat="1" ht="18">
      <c r="B51" s="13" t="s">
        <v>64</v>
      </c>
      <c r="J51" s="23"/>
    </row>
    <row r="52" spans="2:8" ht="20.25">
      <c r="B52" s="1" t="s">
        <v>52</v>
      </c>
      <c r="C52" s="15" t="s">
        <v>53</v>
      </c>
      <c r="D52" s="17">
        <v>10</v>
      </c>
      <c r="E52" s="17">
        <v>25</v>
      </c>
      <c r="F52" s="17">
        <v>15</v>
      </c>
      <c r="H52" s="16">
        <f>((D52*D14)+(E52*E14)+(F52*F14))/H14</f>
        <v>15.833333333333334</v>
      </c>
    </row>
    <row r="53" spans="2:8" ht="20.25">
      <c r="B53" s="1" t="s">
        <v>54</v>
      </c>
      <c r="C53" s="15" t="s">
        <v>53</v>
      </c>
      <c r="D53" s="7" t="s">
        <v>17</v>
      </c>
      <c r="E53" s="7" t="s">
        <v>17</v>
      </c>
      <c r="F53" s="7" t="s">
        <v>17</v>
      </c>
      <c r="H53" s="17">
        <v>40</v>
      </c>
    </row>
    <row r="54" spans="2:10" ht="20.25">
      <c r="B54" s="1" t="s">
        <v>55</v>
      </c>
      <c r="C54" s="1" t="s">
        <v>40</v>
      </c>
      <c r="D54" s="3">
        <f>D14*($H53-D52)*4.19</f>
        <v>3771.0000000000005</v>
      </c>
      <c r="E54" s="3">
        <f>E14*($H53-E52)*4.19</f>
        <v>1257.0000000000002</v>
      </c>
      <c r="F54" s="3">
        <f>F14*($H53-F52)*4.19</f>
        <v>1047.5</v>
      </c>
      <c r="H54" s="3">
        <f>SUM(D54:G54)</f>
        <v>6075.500000000001</v>
      </c>
      <c r="J54" s="22" t="s">
        <v>86</v>
      </c>
    </row>
    <row r="55" spans="2:10" ht="18">
      <c r="B55" s="1" t="s">
        <v>55</v>
      </c>
      <c r="C55" s="1" t="s">
        <v>41</v>
      </c>
      <c r="D55" s="3">
        <f>D54*1000/24/3600</f>
        <v>43.64583333333334</v>
      </c>
      <c r="E55" s="3">
        <f>E54*1000/24/3600</f>
        <v>14.548611111111112</v>
      </c>
      <c r="F55" s="3">
        <f>F54*1000/24/3600</f>
        <v>12.123842592592593</v>
      </c>
      <c r="H55" s="3">
        <f>SUM(D55:G55)</f>
        <v>70.31828703703705</v>
      </c>
      <c r="J55" s="22" t="s">
        <v>87</v>
      </c>
    </row>
    <row r="56" spans="2:10" ht="20.25">
      <c r="B56" s="1" t="s">
        <v>56</v>
      </c>
      <c r="C56" s="1" t="s">
        <v>57</v>
      </c>
      <c r="D56" s="7" t="s">
        <v>17</v>
      </c>
      <c r="E56" s="7" t="s">
        <v>17</v>
      </c>
      <c r="F56" s="7" t="s">
        <v>17</v>
      </c>
      <c r="H56" s="3">
        <f>POWER((H27/2/PI()),2/3)*6*PI()</f>
        <v>1151.494975606508</v>
      </c>
      <c r="J56" s="22" t="s">
        <v>88</v>
      </c>
    </row>
    <row r="57" spans="2:10" ht="20.25">
      <c r="B57" s="1" t="s">
        <v>58</v>
      </c>
      <c r="C57" s="1" t="s">
        <v>59</v>
      </c>
      <c r="D57" s="7" t="s">
        <v>17</v>
      </c>
      <c r="E57" s="7" t="s">
        <v>17</v>
      </c>
      <c r="F57" s="7" t="s">
        <v>17</v>
      </c>
      <c r="H57" s="18">
        <v>0.35</v>
      </c>
      <c r="J57" s="22" t="s">
        <v>89</v>
      </c>
    </row>
    <row r="58" spans="2:8" ht="20.25">
      <c r="B58" s="1" t="s">
        <v>61</v>
      </c>
      <c r="C58" s="15" t="s">
        <v>53</v>
      </c>
      <c r="D58" s="7" t="s">
        <v>17</v>
      </c>
      <c r="E58" s="7" t="s">
        <v>17</v>
      </c>
      <c r="F58" s="7" t="s">
        <v>17</v>
      </c>
      <c r="H58" s="17">
        <v>5</v>
      </c>
    </row>
    <row r="59" spans="2:10" ht="18">
      <c r="B59" s="1" t="s">
        <v>60</v>
      </c>
      <c r="C59" s="1" t="s">
        <v>41</v>
      </c>
      <c r="D59" s="7" t="s">
        <v>17</v>
      </c>
      <c r="E59" s="7" t="s">
        <v>17</v>
      </c>
      <c r="F59" s="7" t="s">
        <v>17</v>
      </c>
      <c r="H59" s="3">
        <f>H56*(H53-H58)*H57/1000</f>
        <v>14.105813451179722</v>
      </c>
      <c r="J59" s="22" t="s">
        <v>90</v>
      </c>
    </row>
    <row r="60" spans="2:10" ht="20.25">
      <c r="B60" s="1" t="s">
        <v>60</v>
      </c>
      <c r="C60" s="1" t="s">
        <v>40</v>
      </c>
      <c r="D60" s="7" t="s">
        <v>17</v>
      </c>
      <c r="E60" s="7" t="s">
        <v>17</v>
      </c>
      <c r="F60" s="7" t="s">
        <v>17</v>
      </c>
      <c r="H60" s="3">
        <f>H59*3600*24/1000</f>
        <v>1218.742282181928</v>
      </c>
      <c r="J60" s="22" t="s">
        <v>87</v>
      </c>
    </row>
    <row r="61" spans="2:10" ht="20.25">
      <c r="B61" s="1" t="s">
        <v>65</v>
      </c>
      <c r="C61" s="1" t="s">
        <v>40</v>
      </c>
      <c r="D61" s="7" t="s">
        <v>17</v>
      </c>
      <c r="E61" s="7" t="s">
        <v>17</v>
      </c>
      <c r="F61" s="7" t="s">
        <v>17</v>
      </c>
      <c r="H61" s="3">
        <f>H54+H60</f>
        <v>7294.242282181929</v>
      </c>
      <c r="J61" s="22" t="s">
        <v>91</v>
      </c>
    </row>
    <row r="62" spans="2:10" ht="18">
      <c r="B62" s="1" t="s">
        <v>65</v>
      </c>
      <c r="C62" s="1" t="s">
        <v>41</v>
      </c>
      <c r="D62" s="7" t="s">
        <v>17</v>
      </c>
      <c r="E62" s="7" t="s">
        <v>17</v>
      </c>
      <c r="F62" s="7" t="s">
        <v>17</v>
      </c>
      <c r="H62" s="3">
        <f>H61*1000/24/3600</f>
        <v>84.42410048821678</v>
      </c>
      <c r="J62" s="22" t="s">
        <v>87</v>
      </c>
    </row>
    <row r="63" spans="2:8" ht="18">
      <c r="B63" s="1" t="s">
        <v>62</v>
      </c>
      <c r="C63" s="1" t="s">
        <v>4</v>
      </c>
      <c r="D63" s="7" t="s">
        <v>17</v>
      </c>
      <c r="E63" s="7" t="s">
        <v>17</v>
      </c>
      <c r="F63" s="7" t="s">
        <v>17</v>
      </c>
      <c r="H63" s="2">
        <f>H62/H46</f>
        <v>0.11860139177846696</v>
      </c>
    </row>
    <row r="64" ht="6" customHeight="1"/>
    <row r="65" spans="2:10" s="13" customFormat="1" ht="18">
      <c r="B65" s="13" t="s">
        <v>69</v>
      </c>
      <c r="J65" s="23"/>
    </row>
    <row r="66" spans="2:8" ht="18">
      <c r="B66" s="1" t="s">
        <v>51</v>
      </c>
      <c r="C66" s="1" t="s">
        <v>41</v>
      </c>
      <c r="D66" s="7" t="s">
        <v>17</v>
      </c>
      <c r="E66" s="7" t="s">
        <v>17</v>
      </c>
      <c r="F66" s="7" t="s">
        <v>17</v>
      </c>
      <c r="H66" s="3">
        <f>H48</f>
        <v>572.6458500000001</v>
      </c>
    </row>
    <row r="67" spans="2:8" ht="20.25">
      <c r="B67" s="1" t="s">
        <v>66</v>
      </c>
      <c r="C67" s="1" t="s">
        <v>67</v>
      </c>
      <c r="D67" s="7" t="s">
        <v>17</v>
      </c>
      <c r="E67" s="7" t="s">
        <v>17</v>
      </c>
      <c r="F67" s="7" t="s">
        <v>17</v>
      </c>
      <c r="H67" s="8">
        <v>1000</v>
      </c>
    </row>
    <row r="68" spans="2:10" ht="18">
      <c r="B68" s="1" t="s">
        <v>66</v>
      </c>
      <c r="C68" s="1" t="s">
        <v>41</v>
      </c>
      <c r="D68" s="7" t="s">
        <v>17</v>
      </c>
      <c r="E68" s="7" t="s">
        <v>17</v>
      </c>
      <c r="F68" s="7" t="s">
        <v>17</v>
      </c>
      <c r="H68" s="3">
        <f>H67/24</f>
        <v>41.666666666666664</v>
      </c>
      <c r="J68" s="22" t="s">
        <v>92</v>
      </c>
    </row>
    <row r="69" spans="2:8" ht="18">
      <c r="B69" s="1" t="s">
        <v>68</v>
      </c>
      <c r="C69" s="1" t="s">
        <v>4</v>
      </c>
      <c r="D69" s="7" t="s">
        <v>17</v>
      </c>
      <c r="E69" s="7" t="s">
        <v>17</v>
      </c>
      <c r="F69" s="7" t="s">
        <v>17</v>
      </c>
      <c r="H69" s="2">
        <f>H68/H66</f>
        <v>0.07276166703498621</v>
      </c>
    </row>
    <row r="70" ht="6" customHeight="1"/>
    <row r="71" spans="2:8" ht="18">
      <c r="B71" s="1" t="s">
        <v>93</v>
      </c>
      <c r="C71" s="1" t="s">
        <v>41</v>
      </c>
      <c r="D71" s="7" t="s">
        <v>17</v>
      </c>
      <c r="E71" s="7" t="s">
        <v>17</v>
      </c>
      <c r="F71" s="7" t="s">
        <v>17</v>
      </c>
      <c r="H71" s="3">
        <f>H46</f>
        <v>711.8306052083333</v>
      </c>
    </row>
    <row r="72" spans="2:8" ht="20.25">
      <c r="B72" s="1" t="s">
        <v>65</v>
      </c>
      <c r="C72" s="1" t="s">
        <v>40</v>
      </c>
      <c r="D72" s="7" t="s">
        <v>17</v>
      </c>
      <c r="E72" s="7" t="s">
        <v>17</v>
      </c>
      <c r="F72" s="7" t="s">
        <v>17</v>
      </c>
      <c r="H72" s="3">
        <f>H61</f>
        <v>7294.242282181929</v>
      </c>
    </row>
    <row r="73" spans="2:10" ht="18">
      <c r="B73" s="1" t="s">
        <v>65</v>
      </c>
      <c r="C73" s="1" t="s">
        <v>41</v>
      </c>
      <c r="D73" s="7" t="s">
        <v>17</v>
      </c>
      <c r="E73" s="7" t="s">
        <v>17</v>
      </c>
      <c r="F73" s="7" t="s">
        <v>17</v>
      </c>
      <c r="H73" s="3">
        <f>H72*1000/24/3600</f>
        <v>84.42410048821678</v>
      </c>
      <c r="J73" s="22" t="s">
        <v>87</v>
      </c>
    </row>
    <row r="74" spans="2:8" ht="18">
      <c r="B74" s="1" t="s">
        <v>62</v>
      </c>
      <c r="C74" s="1" t="s">
        <v>4</v>
      </c>
      <c r="D74" s="7" t="s">
        <v>17</v>
      </c>
      <c r="E74" s="7" t="s">
        <v>17</v>
      </c>
      <c r="F74" s="7" t="s">
        <v>17</v>
      </c>
      <c r="H74" s="2">
        <f>H73/H71</f>
        <v>0.11860139177846696</v>
      </c>
    </row>
    <row r="75" ht="6" customHeight="1"/>
    <row r="76" spans="2:10" s="13" customFormat="1" ht="18">
      <c r="B76" s="13" t="s">
        <v>94</v>
      </c>
      <c r="J76" s="23"/>
    </row>
    <row r="77" spans="2:8" ht="20.25">
      <c r="B77" s="1" t="s">
        <v>25</v>
      </c>
      <c r="C77" s="1" t="s">
        <v>19</v>
      </c>
      <c r="D77" s="3">
        <f>D16</f>
        <v>10950</v>
      </c>
      <c r="E77" s="3">
        <f>E16</f>
        <v>7300</v>
      </c>
      <c r="F77" s="3">
        <f>F16</f>
        <v>3650</v>
      </c>
      <c r="H77" s="3">
        <f aca="true" t="shared" si="0" ref="H77:H84">SUM(D77:G77)</f>
        <v>21900</v>
      </c>
    </row>
    <row r="78" spans="2:8" ht="21">
      <c r="B78" s="1" t="s">
        <v>96</v>
      </c>
      <c r="C78" s="1" t="s">
        <v>95</v>
      </c>
      <c r="D78" s="3">
        <f>D20*365</f>
        <v>144802.80000000002</v>
      </c>
      <c r="E78" s="3">
        <f>E20*365</f>
        <v>915420</v>
      </c>
      <c r="F78" s="3">
        <f>F20*365</f>
        <v>344925</v>
      </c>
      <c r="H78" s="3">
        <f t="shared" si="0"/>
        <v>1405147.8</v>
      </c>
    </row>
    <row r="79" spans="2:10" ht="21">
      <c r="B79" s="1" t="s">
        <v>97</v>
      </c>
      <c r="C79" s="1" t="s">
        <v>95</v>
      </c>
      <c r="D79" s="3">
        <f>D21*365-D78</f>
        <v>104857.20000000001</v>
      </c>
      <c r="E79" s="3">
        <f>E21*365-E78</f>
        <v>748980</v>
      </c>
      <c r="F79" s="3">
        <f>F21*365-F78</f>
        <v>229950</v>
      </c>
      <c r="H79" s="3">
        <f t="shared" si="0"/>
        <v>1083787.2</v>
      </c>
      <c r="J79" s="22" t="s">
        <v>104</v>
      </c>
    </row>
    <row r="80" spans="2:10" ht="21">
      <c r="B80" s="1" t="s">
        <v>98</v>
      </c>
      <c r="C80" s="1" t="s">
        <v>19</v>
      </c>
      <c r="D80" s="3">
        <f>D78*0.71/1000</f>
        <v>102.80998800000002</v>
      </c>
      <c r="E80" s="3">
        <f>E78*0.71/1000</f>
        <v>649.9481999999999</v>
      </c>
      <c r="F80" s="3">
        <f>F78*0.71/1000</f>
        <v>244.89675</v>
      </c>
      <c r="H80" s="3">
        <f t="shared" si="0"/>
        <v>997.6549379999999</v>
      </c>
      <c r="J80" s="22" t="s">
        <v>106</v>
      </c>
    </row>
    <row r="81" spans="2:10" ht="21">
      <c r="B81" s="1" t="s">
        <v>99</v>
      </c>
      <c r="C81" s="1" t="s">
        <v>19</v>
      </c>
      <c r="D81" s="3">
        <f>D79*1.96/1000</f>
        <v>205.520112</v>
      </c>
      <c r="E81" s="3">
        <f>E79*1.96/1000</f>
        <v>1468.0008</v>
      </c>
      <c r="F81" s="3">
        <f>F79*1.96/1000</f>
        <v>450.702</v>
      </c>
      <c r="H81" s="3">
        <f t="shared" si="0"/>
        <v>2124.222912</v>
      </c>
      <c r="J81" s="22" t="s">
        <v>105</v>
      </c>
    </row>
    <row r="82" spans="2:8" ht="20.25">
      <c r="B82" s="1" t="s">
        <v>100</v>
      </c>
      <c r="C82" s="1" t="s">
        <v>19</v>
      </c>
      <c r="D82" s="3">
        <f>D80+D81</f>
        <v>308.3301</v>
      </c>
      <c r="E82" s="3">
        <f>E80+E81</f>
        <v>2117.949</v>
      </c>
      <c r="F82" s="3">
        <f>F80+F81</f>
        <v>695.59875</v>
      </c>
      <c r="H82" s="3">
        <f t="shared" si="0"/>
        <v>3121.8778500000003</v>
      </c>
    </row>
    <row r="83" spans="2:10" ht="20.25">
      <c r="B83" s="1" t="s">
        <v>101</v>
      </c>
      <c r="C83" s="1" t="s">
        <v>19</v>
      </c>
      <c r="D83" s="3">
        <f>D77-D82</f>
        <v>10641.6699</v>
      </c>
      <c r="E83" s="3">
        <f>E77-E82</f>
        <v>5182.0509999999995</v>
      </c>
      <c r="F83" s="3">
        <f>F77-F82</f>
        <v>2954.40125</v>
      </c>
      <c r="H83" s="3">
        <f t="shared" si="0"/>
        <v>18778.12215</v>
      </c>
      <c r="J83" s="22" t="s">
        <v>107</v>
      </c>
    </row>
    <row r="84" spans="2:8" ht="20.25">
      <c r="B84" s="1" t="s">
        <v>103</v>
      </c>
      <c r="C84" s="1" t="s">
        <v>19</v>
      </c>
      <c r="D84" s="3">
        <f>D77-D83</f>
        <v>308.3300999999992</v>
      </c>
      <c r="E84" s="3">
        <f>E77-E83</f>
        <v>2117.9490000000005</v>
      </c>
      <c r="F84" s="3">
        <f>F77-F83</f>
        <v>695.5987500000001</v>
      </c>
      <c r="H84" s="3">
        <f t="shared" si="0"/>
        <v>3121.87785</v>
      </c>
    </row>
    <row r="85" spans="2:8" ht="18">
      <c r="B85" s="1" t="s">
        <v>102</v>
      </c>
      <c r="C85" s="1" t="s">
        <v>4</v>
      </c>
      <c r="D85" s="2">
        <f>D84/D77</f>
        <v>0.02815799999999993</v>
      </c>
      <c r="E85" s="2">
        <f>E84/E77</f>
        <v>0.29013000000000005</v>
      </c>
      <c r="F85" s="2">
        <f>F84/F77</f>
        <v>0.19057500000000002</v>
      </c>
      <c r="H85" s="2">
        <f>H84/H77</f>
        <v>0.1425515</v>
      </c>
    </row>
    <row r="86" ht="6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michael.chesshire</dc:creator>
  <cp:keywords/>
  <dc:description/>
  <cp:lastModifiedBy>Kirsi Ruusuniitty</cp:lastModifiedBy>
  <dcterms:created xsi:type="dcterms:W3CDTF">2011-08-15T07:09:27Z</dcterms:created>
  <dcterms:modified xsi:type="dcterms:W3CDTF">2011-08-16T06:49:04Z</dcterms:modified>
  <cp:category/>
  <cp:version/>
  <cp:contentType/>
  <cp:contentStatus/>
</cp:coreProperties>
</file>